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BII\MIPO\Project Review-Cost Est\(11) Cost Benefit Analysis\BCR models final versions\"/>
    </mc:Choice>
  </mc:AlternateContent>
  <bookViews>
    <workbookView xWindow="0" yWindow="0" windowWidth="28800" windowHeight="13410" activeTab="2"/>
    <workbookView xWindow="0" yWindow="0" windowWidth="28800" windowHeight="13410" activeTab="3"/>
  </bookViews>
  <sheets>
    <sheet name="Input sheet" sheetId="12" r:id="rId1"/>
    <sheet name="Summary Sheet" sheetId="13" r:id="rId2"/>
    <sheet name="Table D4 PPR template" sheetId="16" r:id="rId3"/>
    <sheet name="Model" sheetId="11" r:id="rId4"/>
    <sheet name="Drop down menu lists" sheetId="14" r:id="rId5"/>
    <sheet name="Vehicle Data Mapping" sheetId="17" r:id="rId6"/>
    <sheet name="References" sheetId="20" r:id="rId7"/>
    <sheet name="VOC - IRI change over time" sheetId="10" r:id="rId8"/>
    <sheet name="VOC Light" sheetId="2" r:id="rId9"/>
    <sheet name="VOC Heavy" sheetId="3" r:id="rId10"/>
    <sheet name="Travel Time Value" sheetId="4" r:id="rId11"/>
    <sheet name="Crash Cost Values" sheetId="5" r:id="rId12"/>
    <sheet name="Externality Values" sheetId="7" r:id="rId13"/>
    <sheet name="WTP Values" sheetId="6" r:id="rId14"/>
    <sheet name="Sheet1" sheetId="1" r:id="rId15"/>
    <sheet name="Motor Vehicle Counts" sheetId="18" r:id="rId16"/>
    <sheet name="Motor Vehicle Proportion" sheetId="19" r:id="rId17"/>
    <sheet name="CPI Values" sheetId="21" r:id="rId18"/>
  </sheets>
  <externalReferences>
    <externalReference r:id="rId19"/>
  </externalReference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GoalSeekTargetValue" hidden="1">0</definedName>
    <definedName name="_AtRisk_SimSetting_LiveUpdate" hidden="1">TRUE</definedName>
    <definedName name="_AtRisk_SimSetting_LiveUpdatePeriod" hidden="1">-1</definedName>
    <definedName name="_AtRisk_SimSetting_MacroMode" hidden="1">0</definedName>
    <definedName name="_AtRisk_SimSetting_MacroRecalculationBehavior" hidden="1">0</definedName>
    <definedName name="_AtRisk_SimSetting_MultipleCPUManualCount" hidden="1">4</definedName>
    <definedName name="_AtRisk_SimSetting_MultipleCPUMode" hidden="1">0</definedName>
    <definedName name="_AtRisk_SimSetting_RandomNumberGenerator" hidden="1">0</definedName>
    <definedName name="_AtRisk_SimSetting_ReportOptionCustomItemCumulativeOverlay01" hidden="1">0</definedName>
    <definedName name="_AtRisk_SimSetting_ReportOptionCustomItemCumulativeOverlay02" hidden="1">0</definedName>
    <definedName name="_AtRisk_SimSetting_ReportOptionCustomItemCumulativeOverlay03" hidden="1">0</definedName>
    <definedName name="_AtRisk_SimSetting_ReportOptionCustomItemCumulativeOverlay04" hidden="1">0</definedName>
    <definedName name="_AtRisk_SimSetting_ReportOptionCustomItemCumulativeOverlay05" hidden="1">0</definedName>
    <definedName name="_AtRisk_SimSetting_ReportOptionCustomItemCumulativeOverlay06" hidden="1">0</definedName>
    <definedName name="_AtRisk_SimSetting_ReportOptionCustomItemDistributionFormat01" hidden="1">1</definedName>
    <definedName name="_AtRisk_SimSetting_ReportOptionCustomItemDistributionFormat02" hidden="1">1</definedName>
    <definedName name="_AtRisk_SimSetting_ReportOptionCustomItemDistributionFormat03" hidden="1">4</definedName>
    <definedName name="_AtRisk_SimSetting_ReportOptionCustomItemDistributionFormat04" hidden="1">1</definedName>
    <definedName name="_AtRisk_SimSetting_ReportOptionCustomItemDistributionFormat05" hidden="1">1</definedName>
    <definedName name="_AtRisk_SimSetting_ReportOptionCustomItemDistributionFormat06" hidden="1">1</definedName>
    <definedName name="_AtRisk_SimSetting_ReportOptionCustomItemGraphFormat01" hidden="1">1</definedName>
    <definedName name="_AtRisk_SimSetting_ReportOptionCustomItemGraphFormat02" hidden="1">1</definedName>
    <definedName name="_AtRisk_SimSetting_ReportOptionCustomItemGraphFormat03" hidden="1">1</definedName>
    <definedName name="_AtRisk_SimSetting_ReportOptionCustomItemGraphFormat04" hidden="1">1</definedName>
    <definedName name="_AtRisk_SimSetting_ReportOptionCustomItemGraphFormat05" hidden="1">1</definedName>
    <definedName name="_AtRisk_SimSetting_ReportOptionCustomItemGraphFormat06" hidden="1">1</definedName>
    <definedName name="_AtRisk_SimSetting_ReportOptionCustomItemItemIndex01" hidden="1">0</definedName>
    <definedName name="_AtRisk_SimSetting_ReportOptionCustomItemItemIndex02" hidden="1">1</definedName>
    <definedName name="_AtRisk_SimSetting_ReportOptionCustomItemItemIndex03" hidden="1">2</definedName>
    <definedName name="_AtRisk_SimSetting_ReportOptionCustomItemItemIndex04" hidden="1">3</definedName>
    <definedName name="_AtRisk_SimSetting_ReportOptionCustomItemItemIndex05" hidden="1">4</definedName>
    <definedName name="_AtRisk_SimSetting_ReportOptionCustomItemItemIndex06" hidden="1">5</definedName>
    <definedName name="_AtRisk_SimSetting_ReportOptionCustomItemItemSize01" hidden="1">0</definedName>
    <definedName name="_AtRisk_SimSetting_ReportOptionCustomItemItemSize02" hidden="1">0</definedName>
    <definedName name="_AtRisk_SimSetting_ReportOptionCustomItemItemSize03" hidden="1">0</definedName>
    <definedName name="_AtRisk_SimSetting_ReportOptionCustomItemItemSize04" hidden="1">0</definedName>
    <definedName name="_AtRisk_SimSetting_ReportOptionCustomItemItemSize05" hidden="1">0</definedName>
    <definedName name="_AtRisk_SimSetting_ReportOptionCustomItemItemSize06" hidden="1">0</definedName>
    <definedName name="_AtRisk_SimSetting_ReportOptionCustomItemItemType01" hidden="1">1</definedName>
    <definedName name="_AtRisk_SimSetting_ReportOptionCustomItemItemType02" hidden="1">5</definedName>
    <definedName name="_AtRisk_SimSetting_ReportOptionCustomItemItemType03" hidden="1">1</definedName>
    <definedName name="_AtRisk_SimSetting_ReportOptionCustomItemItemType04" hidden="1">3</definedName>
    <definedName name="_AtRisk_SimSetting_ReportOptionCustomItemItemType05" hidden="1">2</definedName>
    <definedName name="_AtRisk_SimSetting_ReportOptionCustomItemItemType06" hidden="1">4</definedName>
    <definedName name="_AtRisk_SimSetting_ReportOptionCustomItemLegendType01" hidden="1">0</definedName>
    <definedName name="_AtRisk_SimSetting_ReportOptionCustomItemLegendType02" hidden="1">0</definedName>
    <definedName name="_AtRisk_SimSetting_ReportOptionCustomItemLegendType03" hidden="1">0</definedName>
    <definedName name="_AtRisk_SimSetting_ReportOptionCustomItemLegendType04" hidden="1">0</definedName>
    <definedName name="_AtRisk_SimSetting_ReportOptionCustomItemLegendType05" hidden="1">0</definedName>
    <definedName name="_AtRisk_SimSetting_ReportOptionCustomItemLegendType06" hidden="1">0</definedName>
    <definedName name="_AtRisk_SimSetting_ReportOptionCustomItemsCount" hidden="1">6</definedName>
    <definedName name="_AtRisk_SimSetting_ReportOptionCustomItemSensitivityFormat01" hidden="1">1</definedName>
    <definedName name="_AtRisk_SimSetting_ReportOptionCustomItemSensitivityFormat02" hidden="1">1</definedName>
    <definedName name="_AtRisk_SimSetting_ReportOptionCustomItemSensitivityFormat03" hidden="1">1</definedName>
    <definedName name="_AtRisk_SimSetting_ReportOptionCustomItemSensitivityFormat04" hidden="1">1</definedName>
    <definedName name="_AtRisk_SimSetting_ReportOptionCustomItemSensitivityFormat05" hidden="1">1</definedName>
    <definedName name="_AtRisk_SimSetting_ReportOptionCustomItemSensitivityFormat06" hidden="1">1</definedName>
    <definedName name="_AtRisk_SimSetting_ReportOptionCustomItemSummaryGraphType01" hidden="1">0</definedName>
    <definedName name="_AtRisk_SimSetting_ReportOptionCustomItemSummaryGraphType02" hidden="1">0</definedName>
    <definedName name="_AtRisk_SimSetting_ReportOptionCustomItemSummaryGraphType03" hidden="1">0</definedName>
    <definedName name="_AtRisk_SimSetting_ReportOptionCustomItemSummaryGraphType04" hidden="1">0</definedName>
    <definedName name="_AtRisk_SimSetting_ReportOptionCustomItemSummaryGraphType05" hidden="1">0</definedName>
    <definedName name="_AtRisk_SimSetting_ReportOptionCustomItemSummaryGraphType06" hidden="1">0</definedName>
    <definedName name="_AtRisk_SimSetting_ReportOptionDataMode" hidden="1">1</definedName>
    <definedName name="_AtRisk_SimSetting_ReportOptionReportMultiSimType" hidden="1">1</definedName>
    <definedName name="_AtRisk_SimSetting_ReportOptionReportPlacement" hidden="1">2</definedName>
    <definedName name="_AtRisk_SimSetting_ReportOptionReportSelection" hidden="1">1</definedName>
    <definedName name="_AtRisk_SimSetting_ReportOptionReportsFileType" hidden="1">1</definedName>
    <definedName name="_AtRisk_SimSetting_ReportOptionReportStyle" hidden="1">2</definedName>
    <definedName name="_AtRisk_SimSetting_ReportOptionSelectiveQR" hidden="1">FALSE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_FilterDatabase" localSheetId="15" hidden="1">'Motor Vehicle Counts'!$A$1:$K$49</definedName>
    <definedName name="A2325806K">'CPI Values'!$B$1:$B$10,'CPI Values'!$B$11:$B$294</definedName>
    <definedName name="A2325806K_Data">'CPI Values'!$B$11:$B$294</definedName>
    <definedName name="A2325806K_Latest">'CPI Values'!$B$294</definedName>
    <definedName name="A2325807L">'CPI Values'!$K$1:$K$10,'CPI Values'!$K$15:$K$294</definedName>
    <definedName name="A2325807L_Data">'CPI Values'!$K$15:$K$294</definedName>
    <definedName name="A2325807L_Latest">'CPI Values'!$K$294</definedName>
    <definedName name="A2325810A">'CPI Values'!$T$1:$T$10,'CPI Values'!$T$12:$T$294</definedName>
    <definedName name="A2325810A_Data">'CPI Values'!$T$12:$T$294</definedName>
    <definedName name="A2325810A_Latest">'CPI Values'!$T$294</definedName>
    <definedName name="A2325811C">'CPI Values'!$C$1:$C$10,'CPI Values'!$C$11:$C$294</definedName>
    <definedName name="A2325811C_Data">'CPI Values'!$C$11:$C$294</definedName>
    <definedName name="A2325811C_Latest">'CPI Values'!$C$294</definedName>
    <definedName name="A2325812F">'CPI Values'!$L$1:$L$10,'CPI Values'!$L$15:$L$294</definedName>
    <definedName name="A2325812F_Data">'CPI Values'!$L$15:$L$294</definedName>
    <definedName name="A2325812F_Latest">'CPI Values'!$L$294</definedName>
    <definedName name="A2325815L">'CPI Values'!$U$1:$U$10,'CPI Values'!$U$12:$U$294</definedName>
    <definedName name="A2325815L_Data">'CPI Values'!$U$12:$U$294</definedName>
    <definedName name="A2325815L_Latest">'CPI Values'!$U$294</definedName>
    <definedName name="A2325816R">'CPI Values'!$D$1:$D$10,'CPI Values'!$D$11:$D$294</definedName>
    <definedName name="A2325816R_Data">'CPI Values'!$D$11:$D$294</definedName>
    <definedName name="A2325816R_Latest">'CPI Values'!$D$294</definedName>
    <definedName name="A2325817T">'CPI Values'!$M$1:$M$10,'CPI Values'!$M$15:$M$294</definedName>
    <definedName name="A2325817T_Data">'CPI Values'!$M$15:$M$294</definedName>
    <definedName name="A2325817T_Latest">'CPI Values'!$M$294</definedName>
    <definedName name="A2325820F">'CPI Values'!$V$1:$V$10,'CPI Values'!$V$12:$V$294</definedName>
    <definedName name="A2325820F_Data">'CPI Values'!$V$12:$V$294</definedName>
    <definedName name="A2325820F_Latest">'CPI Values'!$V$294</definedName>
    <definedName name="A2325821J">'CPI Values'!$E$1:$E$10,'CPI Values'!$E$11:$E$294</definedName>
    <definedName name="A2325821J_Data">'CPI Values'!$E$11:$E$294</definedName>
    <definedName name="A2325821J_Latest">'CPI Values'!$E$294</definedName>
    <definedName name="A2325822K">'CPI Values'!$N$1:$N$10,'CPI Values'!$N$15:$N$294</definedName>
    <definedName name="A2325822K_Data">'CPI Values'!$N$15:$N$294</definedName>
    <definedName name="A2325822K_Latest">'CPI Values'!$N$294</definedName>
    <definedName name="A2325825T">'CPI Values'!$W$1:$W$10,'CPI Values'!$W$12:$W$294</definedName>
    <definedName name="A2325825T_Data">'CPI Values'!$W$12:$W$294</definedName>
    <definedName name="A2325825T_Latest">'CPI Values'!$W$294</definedName>
    <definedName name="A2325826V">'CPI Values'!$F$1:$F$10,'CPI Values'!$F$11:$F$294</definedName>
    <definedName name="A2325826V_Data">'CPI Values'!$F$11:$F$294</definedName>
    <definedName name="A2325826V_Latest">'CPI Values'!$F$294</definedName>
    <definedName name="A2325827W">'CPI Values'!$O$1:$O$10,'CPI Values'!$O$15:$O$294</definedName>
    <definedName name="A2325827W_Data">'CPI Values'!$O$15:$O$294</definedName>
    <definedName name="A2325827W_Latest">'CPI Values'!$O$294</definedName>
    <definedName name="A2325830K">'CPI Values'!$X$1:$X$10,'CPI Values'!$X$12:$X$294</definedName>
    <definedName name="A2325830K_Data">'CPI Values'!$X$12:$X$294</definedName>
    <definedName name="A2325830K_Latest">'CPI Values'!$X$294</definedName>
    <definedName name="A2325831L">'CPI Values'!$G$1:$G$10,'CPI Values'!$G$11:$G$294</definedName>
    <definedName name="A2325831L_Data">'CPI Values'!$G$11:$G$294</definedName>
    <definedName name="A2325831L_Latest">'CPI Values'!$G$294</definedName>
    <definedName name="A2325832R">'CPI Values'!$P$1:$P$10,'CPI Values'!$P$15:$P$294</definedName>
    <definedName name="A2325832R_Data">'CPI Values'!$P$15:$P$294</definedName>
    <definedName name="A2325832R_Latest">'CPI Values'!$P$294</definedName>
    <definedName name="A2325835W">'CPI Values'!$Y$1:$Y$10,'CPI Values'!$Y$12:$Y$294</definedName>
    <definedName name="A2325835W_Data">'CPI Values'!$Y$12:$Y$294</definedName>
    <definedName name="A2325835W_Latest">'CPI Values'!$Y$294</definedName>
    <definedName name="A2325836X">'CPI Values'!$H$1:$H$10,'CPI Values'!$H$139:$H$294</definedName>
    <definedName name="A2325836X_Data">'CPI Values'!$H$139:$H$294</definedName>
    <definedName name="A2325836X_Latest">'CPI Values'!$H$294</definedName>
    <definedName name="A2325837A">'CPI Values'!$Q$1:$Q$10,'CPI Values'!$Q$143:$Q$294</definedName>
    <definedName name="A2325837A_Data">'CPI Values'!$Q$143:$Q$294</definedName>
    <definedName name="A2325837A_Latest">'CPI Values'!$Q$294</definedName>
    <definedName name="A2325840R">'CPI Values'!$Z$1:$Z$10,'CPI Values'!$Z$140:$Z$294</definedName>
    <definedName name="A2325840R_Data">'CPI Values'!$Z$140:$Z$294</definedName>
    <definedName name="A2325840R_Latest">'CPI Values'!$Z$294</definedName>
    <definedName name="A2325841T">'CPI Values'!$I$1:$I$10,'CPI Values'!$I$11:$I$294</definedName>
    <definedName name="A2325841T_Data">'CPI Values'!$I$11:$I$294</definedName>
    <definedName name="A2325841T_Latest">'CPI Values'!$I$294</definedName>
    <definedName name="A2325842V">'CPI Values'!$R$1:$R$10,'CPI Values'!$R$15:$R$294</definedName>
    <definedName name="A2325842V_Data">'CPI Values'!$R$15:$R$294</definedName>
    <definedName name="A2325842V_Latest">'CPI Values'!$R$294</definedName>
    <definedName name="A2325845A">'CPI Values'!$AA$1:$AA$10,'CPI Values'!$AA$12:$AA$294</definedName>
    <definedName name="A2325845A_Data">'CPI Values'!$AA$12:$AA$294</definedName>
    <definedName name="A2325845A_Latest">'CPI Values'!$AA$294</definedName>
    <definedName name="A2325846C">'CPI Values'!$J$1:$J$10,'CPI Values'!$J$11:$J$294</definedName>
    <definedName name="A2325846C_Data">'CPI Values'!$J$11:$J$294</definedName>
    <definedName name="A2325846C_Latest">'CPI Values'!$J$294</definedName>
    <definedName name="A2325847F">'CPI Values'!$S$1:$S$10,'CPI Values'!$S$15:$S$294</definedName>
    <definedName name="A2325847F_Data">'CPI Values'!$S$15:$S$294</definedName>
    <definedName name="A2325847F_Latest">'CPI Values'!$S$294</definedName>
    <definedName name="A2325850V">'CPI Values'!$AB$1:$AB$10,'CPI Values'!$AB$12:$AB$294</definedName>
    <definedName name="A2325850V_Data">'CPI Values'!$AB$12:$AB$294</definedName>
    <definedName name="A2325850V_Latest">'CPI Values'!$AB$294</definedName>
    <definedName name="Date_Range">'CPI Values'!$A$2:$A$10,'CPI Values'!$A$11:$A$294</definedName>
    <definedName name="Date_Range_Data">'CPI Values'!$A$11:$A$294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7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TRUE</definedName>
    <definedName name="RiskUseMultipleCPUs" hidden="1">TRUE</definedName>
    <definedName name="TopOfTable_Table_1">'Motor Vehicle Counts'!$A$2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6" l="1"/>
  <c r="F9" i="16"/>
  <c r="F8" i="16"/>
  <c r="F7" i="16"/>
  <c r="G8" i="16" l="1"/>
  <c r="G9" i="16"/>
  <c r="G10" i="16"/>
  <c r="G11" i="16"/>
  <c r="G12" i="16"/>
  <c r="G13" i="16"/>
  <c r="G14" i="16"/>
  <c r="G15" i="16"/>
  <c r="G16" i="16"/>
  <c r="G17" i="16"/>
  <c r="G18" i="16"/>
  <c r="G23" i="16"/>
  <c r="G27" i="16"/>
  <c r="G7" i="16"/>
  <c r="G29" i="16" l="1"/>
  <c r="D42" i="11"/>
  <c r="D51" i="11" s="1"/>
  <c r="D160" i="11" l="1"/>
  <c r="D81" i="11"/>
  <c r="D80" i="11"/>
  <c r="E63" i="11"/>
  <c r="E64" i="11"/>
  <c r="E65" i="11"/>
  <c r="D63" i="11"/>
  <c r="D64" i="11"/>
  <c r="D65" i="11"/>
  <c r="D121" i="11"/>
  <c r="D122" i="11"/>
  <c r="D120" i="11"/>
  <c r="E62" i="11"/>
  <c r="F65" i="11" l="1"/>
  <c r="F64" i="11"/>
  <c r="F63" i="11"/>
  <c r="D12" i="19"/>
  <c r="D14" i="19" s="1"/>
  <c r="E14" i="19" s="1"/>
  <c r="D9" i="19"/>
  <c r="D13" i="19" s="1"/>
  <c r="C9" i="19"/>
  <c r="D6" i="19"/>
  <c r="C6" i="19"/>
  <c r="D164" i="11"/>
  <c r="D162" i="11"/>
  <c r="D161" i="11"/>
  <c r="I164" i="11" l="1"/>
  <c r="M164" i="11"/>
  <c r="Q164" i="11"/>
  <c r="U164" i="11"/>
  <c r="Y164" i="11"/>
  <c r="AC164" i="11"/>
  <c r="AG164" i="11"/>
  <c r="J164" i="11"/>
  <c r="N164" i="11"/>
  <c r="R164" i="11"/>
  <c r="V164" i="11"/>
  <c r="Z164" i="11"/>
  <c r="AD164" i="11"/>
  <c r="AH164" i="11"/>
  <c r="G164" i="11"/>
  <c r="K164" i="11"/>
  <c r="O164" i="11"/>
  <c r="S164" i="11"/>
  <c r="W164" i="11"/>
  <c r="AA164" i="11"/>
  <c r="AE164" i="11"/>
  <c r="AI164" i="11"/>
  <c r="H164" i="11"/>
  <c r="L164" i="11"/>
  <c r="P164" i="11"/>
  <c r="T164" i="11"/>
  <c r="X164" i="11"/>
  <c r="AB164" i="11"/>
  <c r="AF164" i="11"/>
  <c r="F164" i="11"/>
  <c r="E13" i="19"/>
  <c r="E12" i="19"/>
  <c r="D154" i="11"/>
  <c r="D146" i="11"/>
  <c r="D47" i="11"/>
  <c r="D48" i="11" s="1"/>
  <c r="D50" i="11" s="1"/>
  <c r="D26" i="11" l="1"/>
  <c r="D27" i="11" l="1"/>
  <c r="D159" i="11"/>
  <c r="D126" i="11"/>
  <c r="D67" i="11"/>
  <c r="D62" i="11"/>
  <c r="F62" i="11" s="1"/>
  <c r="D25" i="11"/>
  <c r="F25" i="11" s="1"/>
  <c r="D28" i="11"/>
  <c r="D33" i="11"/>
  <c r="D104" i="11" s="1"/>
  <c r="D34" i="11"/>
  <c r="D105" i="11" s="1"/>
  <c r="D35" i="11"/>
  <c r="D2" i="11"/>
  <c r="D5" i="11"/>
  <c r="F122" i="11"/>
  <c r="F121" i="11"/>
  <c r="F120" i="11"/>
  <c r="G4" i="11"/>
  <c r="H4" i="11" s="1"/>
  <c r="F163" i="11" l="1"/>
  <c r="F170" i="11" s="1"/>
  <c r="AJ5" i="11"/>
  <c r="D6" i="13"/>
  <c r="D156" i="11"/>
  <c r="D157" i="11" s="1"/>
  <c r="G6" i="11"/>
  <c r="G7" i="11" s="1"/>
  <c r="H10" i="11"/>
  <c r="G10" i="11"/>
  <c r="H6" i="11"/>
  <c r="H7" i="11" s="1"/>
  <c r="F6" i="11"/>
  <c r="F7" i="11" s="1"/>
  <c r="F10" i="11"/>
  <c r="F66" i="11"/>
  <c r="F67" i="11" s="1"/>
  <c r="F123" i="11"/>
  <c r="F124" i="11" s="1"/>
  <c r="D92" i="11"/>
  <c r="F27" i="11"/>
  <c r="D93" i="11"/>
  <c r="D36" i="11"/>
  <c r="D106" i="11"/>
  <c r="D107" i="11" s="1"/>
  <c r="I4" i="11"/>
  <c r="I6" i="11" s="1"/>
  <c r="F26" i="11"/>
  <c r="G25" i="11"/>
  <c r="E24" i="10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23" i="10"/>
  <c r="D51" i="10"/>
  <c r="D50" i="10"/>
  <c r="D49" i="10"/>
  <c r="D48" i="10"/>
  <c r="D47" i="10"/>
  <c r="D46" i="10"/>
  <c r="D45" i="10"/>
  <c r="D44" i="10"/>
  <c r="D43" i="10"/>
  <c r="D42" i="10"/>
  <c r="D41" i="10"/>
  <c r="D40" i="10"/>
  <c r="D39" i="10"/>
  <c r="D38" i="10"/>
  <c r="D37" i="10"/>
  <c r="D36" i="10"/>
  <c r="D35" i="10"/>
  <c r="D34" i="10"/>
  <c r="D33" i="10"/>
  <c r="D32" i="10"/>
  <c r="D31" i="10"/>
  <c r="D30" i="10"/>
  <c r="D29" i="10"/>
  <c r="D28" i="10"/>
  <c r="D27" i="10"/>
  <c r="D26" i="10"/>
  <c r="D25" i="10"/>
  <c r="D24" i="10"/>
  <c r="D23" i="10"/>
  <c r="D12" i="10"/>
  <c r="B5" i="4"/>
  <c r="F165" i="11" l="1"/>
  <c r="F166" i="11" s="1"/>
  <c r="F169" i="11"/>
  <c r="F174" i="11"/>
  <c r="F178" i="11" s="1"/>
  <c r="F168" i="11"/>
  <c r="F173" i="11"/>
  <c r="F177" i="11" s="1"/>
  <c r="G163" i="11"/>
  <c r="G165" i="11" s="1"/>
  <c r="I10" i="11"/>
  <c r="F52" i="11"/>
  <c r="F11" i="11" s="1"/>
  <c r="F50" i="11"/>
  <c r="F54" i="11" s="1"/>
  <c r="F109" i="11"/>
  <c r="F113" i="11" s="1"/>
  <c r="F51" i="11"/>
  <c r="F55" i="11" s="1"/>
  <c r="I7" i="11"/>
  <c r="F70" i="11"/>
  <c r="F74" i="11" s="1"/>
  <c r="F69" i="11"/>
  <c r="F73" i="11" s="1"/>
  <c r="G70" i="11"/>
  <c r="G74" i="11" s="1"/>
  <c r="G69" i="11"/>
  <c r="G73" i="11" s="1"/>
  <c r="F125" i="11"/>
  <c r="F126" i="11" s="1"/>
  <c r="G71" i="11"/>
  <c r="G12" i="11" s="1"/>
  <c r="F71" i="11"/>
  <c r="F12" i="11" s="1"/>
  <c r="D94" i="11"/>
  <c r="D95" i="11" s="1"/>
  <c r="J4" i="11"/>
  <c r="G27" i="11"/>
  <c r="H25" i="11"/>
  <c r="H163" i="11" s="1"/>
  <c r="H170" i="11" s="1"/>
  <c r="G26" i="11"/>
  <c r="B14" i="2"/>
  <c r="G168" i="11" l="1"/>
  <c r="F167" i="11"/>
  <c r="F171" i="11" s="1"/>
  <c r="F15" i="11" s="1"/>
  <c r="G174" i="11"/>
  <c r="G170" i="11"/>
  <c r="F175" i="11"/>
  <c r="F181" i="11" s="1"/>
  <c r="G169" i="11"/>
  <c r="G173" i="11"/>
  <c r="G177" i="11" s="1"/>
  <c r="G167" i="11"/>
  <c r="G166" i="11"/>
  <c r="J6" i="11"/>
  <c r="J7" i="11" s="1"/>
  <c r="J10" i="11"/>
  <c r="H71" i="11"/>
  <c r="H12" i="11" s="1"/>
  <c r="F97" i="11"/>
  <c r="G52" i="11"/>
  <c r="G11" i="11" s="1"/>
  <c r="G50" i="11"/>
  <c r="G54" i="11" s="1"/>
  <c r="F184" i="11"/>
  <c r="F188" i="11" s="1"/>
  <c r="F183" i="11"/>
  <c r="F187" i="11" s="1"/>
  <c r="G51" i="11"/>
  <c r="G55" i="11" s="1"/>
  <c r="G178" i="11"/>
  <c r="F180" i="11"/>
  <c r="F179" i="11"/>
  <c r="F130" i="11"/>
  <c r="F128" i="11"/>
  <c r="F129" i="11"/>
  <c r="F115" i="11"/>
  <c r="F114" i="11"/>
  <c r="G76" i="11"/>
  <c r="G75" i="11"/>
  <c r="F77" i="11"/>
  <c r="G77" i="11"/>
  <c r="F75" i="11"/>
  <c r="F76" i="11"/>
  <c r="H69" i="11"/>
  <c r="H73" i="11" s="1"/>
  <c r="H70" i="11"/>
  <c r="H74" i="11" s="1"/>
  <c r="F57" i="11"/>
  <c r="F56" i="11"/>
  <c r="F58" i="11"/>
  <c r="H27" i="11"/>
  <c r="I25" i="11"/>
  <c r="I163" i="11" s="1"/>
  <c r="I170" i="11" s="1"/>
  <c r="H26" i="11"/>
  <c r="K4" i="11"/>
  <c r="E16" i="10"/>
  <c r="G23" i="10" s="1"/>
  <c r="F185" i="11" l="1"/>
  <c r="G175" i="11"/>
  <c r="G181" i="11" s="1"/>
  <c r="H173" i="11"/>
  <c r="H177" i="11" s="1"/>
  <c r="H174" i="11"/>
  <c r="H178" i="11" s="1"/>
  <c r="I173" i="11"/>
  <c r="I174" i="11"/>
  <c r="H77" i="11"/>
  <c r="G171" i="11"/>
  <c r="G15" i="11" s="1"/>
  <c r="K10" i="11"/>
  <c r="K6" i="11"/>
  <c r="K7" i="11" s="1"/>
  <c r="H168" i="11"/>
  <c r="H169" i="11"/>
  <c r="H165" i="11"/>
  <c r="I168" i="11"/>
  <c r="I169" i="11"/>
  <c r="I165" i="11"/>
  <c r="F136" i="11"/>
  <c r="F14" i="11"/>
  <c r="H51" i="11"/>
  <c r="H55" i="11" s="1"/>
  <c r="H52" i="11"/>
  <c r="H11" i="11" s="1"/>
  <c r="H50" i="11"/>
  <c r="H54" i="11" s="1"/>
  <c r="G184" i="11"/>
  <c r="G188" i="11" s="1"/>
  <c r="G183" i="11"/>
  <c r="G187" i="11" s="1"/>
  <c r="G130" i="11"/>
  <c r="G14" i="11" s="1"/>
  <c r="F191" i="11"/>
  <c r="G179" i="11"/>
  <c r="G180" i="11"/>
  <c r="F189" i="11"/>
  <c r="F190" i="11"/>
  <c r="G129" i="11"/>
  <c r="F133" i="11"/>
  <c r="G128" i="11"/>
  <c r="F132" i="11"/>
  <c r="F110" i="11"/>
  <c r="F13" i="11" s="1"/>
  <c r="F112" i="11"/>
  <c r="H75" i="11"/>
  <c r="H76" i="11"/>
  <c r="I71" i="11"/>
  <c r="I12" i="11" s="1"/>
  <c r="I70" i="11"/>
  <c r="I74" i="11" s="1"/>
  <c r="I69" i="11"/>
  <c r="I73" i="11" s="1"/>
  <c r="G58" i="11"/>
  <c r="G56" i="11"/>
  <c r="G57" i="11"/>
  <c r="I26" i="11"/>
  <c r="I27" i="11"/>
  <c r="J25" i="11"/>
  <c r="J163" i="11" s="1"/>
  <c r="J170" i="11" s="1"/>
  <c r="L4" i="11"/>
  <c r="I23" i="10"/>
  <c r="C32" i="3" s="1"/>
  <c r="B34" i="2"/>
  <c r="B33" i="2"/>
  <c r="C31" i="3"/>
  <c r="D31" i="3" s="1"/>
  <c r="E31" i="3" s="1"/>
  <c r="F31" i="3" s="1"/>
  <c r="G31" i="3" s="1"/>
  <c r="H31" i="3" s="1"/>
  <c r="I31" i="3" s="1"/>
  <c r="J31" i="3" s="1"/>
  <c r="K31" i="3" s="1"/>
  <c r="L31" i="3" s="1"/>
  <c r="M31" i="3" s="1"/>
  <c r="N31" i="3" s="1"/>
  <c r="O31" i="3" s="1"/>
  <c r="P31" i="3" s="1"/>
  <c r="Q31" i="3" s="1"/>
  <c r="R31" i="3" s="1"/>
  <c r="S31" i="3" s="1"/>
  <c r="T31" i="3" s="1"/>
  <c r="U31" i="3" s="1"/>
  <c r="V31" i="3" s="1"/>
  <c r="W31" i="3" s="1"/>
  <c r="X31" i="3" s="1"/>
  <c r="Y31" i="3" s="1"/>
  <c r="Z31" i="3" s="1"/>
  <c r="AA31" i="3" s="1"/>
  <c r="AB31" i="3" s="1"/>
  <c r="AC31" i="3" s="1"/>
  <c r="AD31" i="3" s="1"/>
  <c r="AE31" i="3" s="1"/>
  <c r="I175" i="11" l="1"/>
  <c r="I181" i="11" s="1"/>
  <c r="H175" i="11"/>
  <c r="H181" i="11" s="1"/>
  <c r="J173" i="11"/>
  <c r="J174" i="11"/>
  <c r="I166" i="11"/>
  <c r="I167" i="11"/>
  <c r="H167" i="11"/>
  <c r="H166" i="11"/>
  <c r="L6" i="11"/>
  <c r="L7" i="11" s="1"/>
  <c r="L10" i="11"/>
  <c r="J165" i="11"/>
  <c r="J169" i="11"/>
  <c r="J168" i="11"/>
  <c r="I52" i="11"/>
  <c r="I11" i="11" s="1"/>
  <c r="I50" i="11"/>
  <c r="I54" i="11" s="1"/>
  <c r="G185" i="11"/>
  <c r="I177" i="11"/>
  <c r="I178" i="11"/>
  <c r="H184" i="11"/>
  <c r="H188" i="11" s="1"/>
  <c r="H183" i="11"/>
  <c r="H187" i="11" s="1"/>
  <c r="I51" i="11"/>
  <c r="I55" i="11" s="1"/>
  <c r="I77" i="11"/>
  <c r="G136" i="11"/>
  <c r="H130" i="11"/>
  <c r="H14" i="11" s="1"/>
  <c r="G189" i="11"/>
  <c r="G190" i="11"/>
  <c r="H180" i="11"/>
  <c r="H179" i="11"/>
  <c r="H128" i="11"/>
  <c r="G132" i="11"/>
  <c r="F134" i="11"/>
  <c r="F135" i="11"/>
  <c r="H129" i="11"/>
  <c r="G133" i="11"/>
  <c r="F17" i="11"/>
  <c r="F116" i="11"/>
  <c r="I75" i="11"/>
  <c r="I76" i="11"/>
  <c r="J71" i="11"/>
  <c r="J12" i="11" s="1"/>
  <c r="J70" i="11"/>
  <c r="J74" i="11" s="1"/>
  <c r="J69" i="11"/>
  <c r="J73" i="11" s="1"/>
  <c r="H56" i="11"/>
  <c r="H57" i="11"/>
  <c r="H58" i="11"/>
  <c r="K25" i="11"/>
  <c r="K163" i="11" s="1"/>
  <c r="K170" i="11" s="1"/>
  <c r="J26" i="11"/>
  <c r="J27" i="11"/>
  <c r="M4" i="11"/>
  <c r="C32" i="2"/>
  <c r="C33" i="2" s="1"/>
  <c r="D7" i="10"/>
  <c r="AA31" i="2"/>
  <c r="AB31" i="2" s="1"/>
  <c r="AC31" i="2" s="1"/>
  <c r="AD31" i="2" s="1"/>
  <c r="AE31" i="2" s="1"/>
  <c r="D31" i="2"/>
  <c r="E31" i="2" s="1"/>
  <c r="F31" i="2" s="1"/>
  <c r="G31" i="2" s="1"/>
  <c r="H31" i="2" s="1"/>
  <c r="I31" i="2" s="1"/>
  <c r="J31" i="2" s="1"/>
  <c r="K31" i="2" s="1"/>
  <c r="L31" i="2" s="1"/>
  <c r="M31" i="2" s="1"/>
  <c r="N31" i="2" s="1"/>
  <c r="O31" i="2" s="1"/>
  <c r="P31" i="2" s="1"/>
  <c r="Q31" i="2" s="1"/>
  <c r="R31" i="2" s="1"/>
  <c r="S31" i="2" s="1"/>
  <c r="T31" i="2" s="1"/>
  <c r="U31" i="2" s="1"/>
  <c r="V31" i="2" s="1"/>
  <c r="W31" i="2" s="1"/>
  <c r="X31" i="2" s="1"/>
  <c r="Y31" i="2" s="1"/>
  <c r="Z31" i="2" s="1"/>
  <c r="C31" i="2"/>
  <c r="D16" i="10"/>
  <c r="C23" i="10"/>
  <c r="C24" i="10" s="1"/>
  <c r="H171" i="11" l="1"/>
  <c r="H15" i="11" s="1"/>
  <c r="K173" i="11"/>
  <c r="K174" i="11"/>
  <c r="J175" i="11"/>
  <c r="J181" i="11" s="1"/>
  <c r="I171" i="11"/>
  <c r="I15" i="11" s="1"/>
  <c r="J166" i="11"/>
  <c r="J167" i="11"/>
  <c r="M6" i="11"/>
  <c r="M7" i="11" s="1"/>
  <c r="M10" i="11"/>
  <c r="K169" i="11"/>
  <c r="K165" i="11"/>
  <c r="K168" i="11"/>
  <c r="G191" i="11"/>
  <c r="J52" i="11"/>
  <c r="J11" i="11" s="1"/>
  <c r="J50" i="11"/>
  <c r="J54" i="11" s="1"/>
  <c r="I183" i="11"/>
  <c r="I187" i="11" s="1"/>
  <c r="I184" i="11"/>
  <c r="I188" i="11" s="1"/>
  <c r="J178" i="11"/>
  <c r="J177" i="11"/>
  <c r="J51" i="11"/>
  <c r="J55" i="11" s="1"/>
  <c r="H185" i="11"/>
  <c r="H136" i="11"/>
  <c r="I130" i="11"/>
  <c r="I14" i="11" s="1"/>
  <c r="I179" i="11"/>
  <c r="I180" i="11"/>
  <c r="H190" i="11"/>
  <c r="H189" i="11"/>
  <c r="I129" i="11"/>
  <c r="H133" i="11"/>
  <c r="I128" i="11"/>
  <c r="H132" i="11"/>
  <c r="G134" i="11"/>
  <c r="G135" i="11"/>
  <c r="J77" i="11"/>
  <c r="J76" i="11"/>
  <c r="J75" i="11"/>
  <c r="K71" i="11"/>
  <c r="K12" i="11" s="1"/>
  <c r="K69" i="11"/>
  <c r="K73" i="11" s="1"/>
  <c r="K70" i="11"/>
  <c r="K74" i="11" s="1"/>
  <c r="I58" i="11"/>
  <c r="I56" i="11"/>
  <c r="I57" i="11"/>
  <c r="N4" i="11"/>
  <c r="L25" i="11"/>
  <c r="L163" i="11" s="1"/>
  <c r="L170" i="11" s="1"/>
  <c r="K27" i="11"/>
  <c r="K26" i="11"/>
  <c r="C34" i="2"/>
  <c r="D15" i="10"/>
  <c r="E15" i="10"/>
  <c r="I25" i="10"/>
  <c r="I24" i="10"/>
  <c r="C25" i="10"/>
  <c r="G24" i="10"/>
  <c r="F24" i="10"/>
  <c r="F23" i="10"/>
  <c r="L173" i="11" l="1"/>
  <c r="L174" i="11"/>
  <c r="K175" i="11"/>
  <c r="K181" i="11" s="1"/>
  <c r="J171" i="11"/>
  <c r="J15" i="11" s="1"/>
  <c r="K167" i="11"/>
  <c r="K166" i="11"/>
  <c r="N6" i="11"/>
  <c r="N7" i="11" s="1"/>
  <c r="N10" i="11"/>
  <c r="L168" i="11"/>
  <c r="L169" i="11"/>
  <c r="L165" i="11"/>
  <c r="H191" i="11"/>
  <c r="I185" i="11"/>
  <c r="K178" i="11"/>
  <c r="K177" i="11"/>
  <c r="K51" i="11"/>
  <c r="K55" i="11" s="1"/>
  <c r="K52" i="11"/>
  <c r="K11" i="11" s="1"/>
  <c r="K50" i="11"/>
  <c r="K54" i="11" s="1"/>
  <c r="J183" i="11"/>
  <c r="J187" i="11" s="1"/>
  <c r="J184" i="11"/>
  <c r="J188" i="11" s="1"/>
  <c r="I136" i="11"/>
  <c r="K77" i="11"/>
  <c r="J130" i="11"/>
  <c r="J14" i="11" s="1"/>
  <c r="J179" i="11"/>
  <c r="J180" i="11"/>
  <c r="I189" i="11"/>
  <c r="I190" i="11"/>
  <c r="H134" i="11"/>
  <c r="H135" i="11"/>
  <c r="J128" i="11"/>
  <c r="I132" i="11"/>
  <c r="J129" i="11"/>
  <c r="I133" i="11"/>
  <c r="K75" i="11"/>
  <c r="K76" i="11"/>
  <c r="L71" i="11"/>
  <c r="L12" i="11" s="1"/>
  <c r="L69" i="11"/>
  <c r="L73" i="11" s="1"/>
  <c r="L70" i="11"/>
  <c r="L74" i="11" s="1"/>
  <c r="J58" i="11"/>
  <c r="J57" i="11"/>
  <c r="J56" i="11"/>
  <c r="O4" i="11"/>
  <c r="M25" i="11"/>
  <c r="M163" i="11" s="1"/>
  <c r="M170" i="11" s="1"/>
  <c r="L26" i="11"/>
  <c r="L27" i="11"/>
  <c r="D32" i="3"/>
  <c r="D32" i="2"/>
  <c r="D33" i="2" s="1"/>
  <c r="D34" i="2" s="1"/>
  <c r="E32" i="3"/>
  <c r="E32" i="2"/>
  <c r="E33" i="2" s="1"/>
  <c r="E34" i="2" s="1"/>
  <c r="C26" i="10"/>
  <c r="I26" i="10" s="1"/>
  <c r="F25" i="10"/>
  <c r="G25" i="10"/>
  <c r="L175" i="11" l="1"/>
  <c r="L181" i="11" s="1"/>
  <c r="M173" i="11"/>
  <c r="M174" i="11"/>
  <c r="K171" i="11"/>
  <c r="K15" i="11" s="1"/>
  <c r="L166" i="11"/>
  <c r="L167" i="11"/>
  <c r="O10" i="11"/>
  <c r="F27" i="16" s="1"/>
  <c r="O6" i="11"/>
  <c r="O7" i="11" s="1"/>
  <c r="M168" i="11"/>
  <c r="M165" i="11"/>
  <c r="M169" i="11"/>
  <c r="L52" i="11"/>
  <c r="L11" i="11" s="1"/>
  <c r="L50" i="11"/>
  <c r="L54" i="11" s="1"/>
  <c r="J185" i="11"/>
  <c r="L177" i="11"/>
  <c r="L178" i="11"/>
  <c r="L51" i="11"/>
  <c r="L55" i="11" s="1"/>
  <c r="K184" i="11"/>
  <c r="K188" i="11" s="1"/>
  <c r="K183" i="11"/>
  <c r="K187" i="11" s="1"/>
  <c r="I191" i="11"/>
  <c r="J136" i="11"/>
  <c r="K130" i="11"/>
  <c r="K14" i="11" s="1"/>
  <c r="J189" i="11"/>
  <c r="J190" i="11"/>
  <c r="K180" i="11"/>
  <c r="K179" i="11"/>
  <c r="K128" i="11"/>
  <c r="J132" i="11"/>
  <c r="I134" i="11"/>
  <c r="I135" i="11"/>
  <c r="K129" i="11"/>
  <c r="J133" i="11"/>
  <c r="L77" i="11"/>
  <c r="L75" i="11"/>
  <c r="L76" i="11"/>
  <c r="M71" i="11"/>
  <c r="M12" i="11" s="1"/>
  <c r="M70" i="11"/>
  <c r="M74" i="11" s="1"/>
  <c r="M69" i="11"/>
  <c r="M73" i="11" s="1"/>
  <c r="K58" i="11"/>
  <c r="K57" i="11"/>
  <c r="K56" i="11"/>
  <c r="M26" i="11"/>
  <c r="M27" i="11"/>
  <c r="N25" i="11"/>
  <c r="N163" i="11" s="1"/>
  <c r="N170" i="11" s="1"/>
  <c r="P4" i="11"/>
  <c r="F32" i="3"/>
  <c r="F32" i="2"/>
  <c r="F33" i="2" s="1"/>
  <c r="F34" i="2" s="1"/>
  <c r="C27" i="10"/>
  <c r="I27" i="10" s="1"/>
  <c r="F26" i="10"/>
  <c r="G26" i="10"/>
  <c r="B18" i="4"/>
  <c r="B19" i="4"/>
  <c r="B16" i="4"/>
  <c r="B11" i="7"/>
  <c r="B10" i="7"/>
  <c r="B6" i="7"/>
  <c r="B5" i="7"/>
  <c r="C6" i="5"/>
  <c r="C5" i="5"/>
  <c r="C4" i="5"/>
  <c r="G18" i="6"/>
  <c r="F18" i="6"/>
  <c r="E18" i="6"/>
  <c r="D4" i="5"/>
  <c r="D5" i="5"/>
  <c r="D6" i="5"/>
  <c r="D7" i="5"/>
  <c r="D8" i="5"/>
  <c r="D9" i="5"/>
  <c r="D18" i="6"/>
  <c r="C18" i="6"/>
  <c r="B18" i="6"/>
  <c r="B11" i="4"/>
  <c r="B14" i="3"/>
  <c r="B19" i="3"/>
  <c r="B19" i="2"/>
  <c r="B21" i="2" s="1"/>
  <c r="D19" i="1"/>
  <c r="D18" i="1"/>
  <c r="C12" i="1"/>
  <c r="C13" i="1"/>
  <c r="C10" i="1"/>
  <c r="C11" i="1"/>
  <c r="C9" i="1"/>
  <c r="C8" i="1"/>
  <c r="E9" i="1"/>
  <c r="E13" i="1"/>
  <c r="F13" i="1"/>
  <c r="N173" i="11" l="1"/>
  <c r="N174" i="11"/>
  <c r="M175" i="11"/>
  <c r="M181" i="11" s="1"/>
  <c r="L171" i="11"/>
  <c r="L15" i="11" s="1"/>
  <c r="M167" i="11"/>
  <c r="M166" i="11"/>
  <c r="P6" i="11"/>
  <c r="P7" i="11" s="1"/>
  <c r="P10" i="11"/>
  <c r="N165" i="11"/>
  <c r="N169" i="11"/>
  <c r="N168" i="11"/>
  <c r="J191" i="11"/>
  <c r="B21" i="3"/>
  <c r="E33" i="3" s="1"/>
  <c r="E34" i="3" s="1"/>
  <c r="M177" i="11"/>
  <c r="M178" i="11"/>
  <c r="M52" i="11"/>
  <c r="M11" i="11" s="1"/>
  <c r="M50" i="11"/>
  <c r="M54" i="11" s="1"/>
  <c r="M51" i="11"/>
  <c r="M55" i="11" s="1"/>
  <c r="L184" i="11"/>
  <c r="L188" i="11" s="1"/>
  <c r="L183" i="11"/>
  <c r="L187" i="11" s="1"/>
  <c r="K185" i="11"/>
  <c r="L58" i="11"/>
  <c r="K136" i="11"/>
  <c r="L130" i="11"/>
  <c r="L14" i="11" s="1"/>
  <c r="K189" i="11"/>
  <c r="K190" i="11"/>
  <c r="L179" i="11"/>
  <c r="L180" i="11"/>
  <c r="J134" i="11"/>
  <c r="J135" i="11"/>
  <c r="L129" i="11"/>
  <c r="K133" i="11"/>
  <c r="L128" i="11"/>
  <c r="K132" i="11"/>
  <c r="M77" i="11"/>
  <c r="M75" i="11"/>
  <c r="M76" i="11"/>
  <c r="N71" i="11"/>
  <c r="N12" i="11" s="1"/>
  <c r="N70" i="11"/>
  <c r="N74" i="11" s="1"/>
  <c r="N69" i="11"/>
  <c r="N73" i="11" s="1"/>
  <c r="L57" i="11"/>
  <c r="L56" i="11"/>
  <c r="N26" i="11"/>
  <c r="N27" i="11"/>
  <c r="O25" i="11"/>
  <c r="O163" i="11" s="1"/>
  <c r="O170" i="11" s="1"/>
  <c r="Q4" i="11"/>
  <c r="G32" i="3"/>
  <c r="G32" i="2"/>
  <c r="G33" i="2" s="1"/>
  <c r="G34" i="2" s="1"/>
  <c r="B33" i="3"/>
  <c r="B34" i="3" s="1"/>
  <c r="D33" i="3"/>
  <c r="D34" i="3" s="1"/>
  <c r="C33" i="3"/>
  <c r="C34" i="3" s="1"/>
  <c r="C28" i="10"/>
  <c r="I28" i="10" s="1"/>
  <c r="G27" i="10"/>
  <c r="F27" i="10"/>
  <c r="M171" i="11" l="1"/>
  <c r="M15" i="11" s="1"/>
  <c r="N175" i="11"/>
  <c r="N181" i="11" s="1"/>
  <c r="O173" i="11"/>
  <c r="O174" i="11"/>
  <c r="N166" i="11"/>
  <c r="N167" i="11"/>
  <c r="Q10" i="11"/>
  <c r="Q6" i="11"/>
  <c r="O169" i="11"/>
  <c r="O165" i="11"/>
  <c r="O168" i="11"/>
  <c r="F33" i="3"/>
  <c r="F34" i="3" s="1"/>
  <c r="G33" i="3"/>
  <c r="G34" i="3" s="1"/>
  <c r="N51" i="11"/>
  <c r="N55" i="11" s="1"/>
  <c r="L185" i="11"/>
  <c r="M183" i="11"/>
  <c r="M187" i="11" s="1"/>
  <c r="M184" i="11"/>
  <c r="M188" i="11" s="1"/>
  <c r="N52" i="11"/>
  <c r="N11" i="11" s="1"/>
  <c r="N50" i="11"/>
  <c r="N54" i="11" s="1"/>
  <c r="K191" i="11"/>
  <c r="N178" i="11"/>
  <c r="N177" i="11"/>
  <c r="L136" i="11"/>
  <c r="M130" i="11"/>
  <c r="M14" i="11" s="1"/>
  <c r="M180" i="11"/>
  <c r="M179" i="11"/>
  <c r="L189" i="11"/>
  <c r="L190" i="11"/>
  <c r="M128" i="11"/>
  <c r="L132" i="11"/>
  <c r="M129" i="11"/>
  <c r="L133" i="11"/>
  <c r="K135" i="11"/>
  <c r="K134" i="11"/>
  <c r="N77" i="11"/>
  <c r="N75" i="11"/>
  <c r="N76" i="11"/>
  <c r="O71" i="11"/>
  <c r="O12" i="11" s="1"/>
  <c r="O69" i="11"/>
  <c r="O73" i="11" s="1"/>
  <c r="O70" i="11"/>
  <c r="O74" i="11" s="1"/>
  <c r="M57" i="11"/>
  <c r="M56" i="11"/>
  <c r="M58" i="11"/>
  <c r="O27" i="11"/>
  <c r="O26" i="11"/>
  <c r="P25" i="11"/>
  <c r="P163" i="11" s="1"/>
  <c r="P170" i="11" s="1"/>
  <c r="R4" i="11"/>
  <c r="H32" i="3"/>
  <c r="H33" i="3" s="1"/>
  <c r="H34" i="3" s="1"/>
  <c r="H32" i="2"/>
  <c r="H33" i="2" s="1"/>
  <c r="H34" i="2" s="1"/>
  <c r="C29" i="10"/>
  <c r="I29" i="10" s="1"/>
  <c r="G28" i="10"/>
  <c r="F28" i="10"/>
  <c r="O175" i="11" l="1"/>
  <c r="O181" i="11" s="1"/>
  <c r="F23" i="16" s="1"/>
  <c r="P173" i="11"/>
  <c r="P174" i="11"/>
  <c r="N171" i="11"/>
  <c r="N15" i="11" s="1"/>
  <c r="O167" i="11"/>
  <c r="O166" i="11"/>
  <c r="R10" i="11"/>
  <c r="R6" i="11"/>
  <c r="R7" i="11" s="1"/>
  <c r="P168" i="11"/>
  <c r="P169" i="11"/>
  <c r="P165" i="11"/>
  <c r="N183" i="11"/>
  <c r="N187" i="11" s="1"/>
  <c r="N184" i="11"/>
  <c r="N188" i="11" s="1"/>
  <c r="O178" i="11"/>
  <c r="O177" i="11"/>
  <c r="L191" i="11"/>
  <c r="M185" i="11"/>
  <c r="O52" i="11"/>
  <c r="O11" i="11" s="1"/>
  <c r="O50" i="11"/>
  <c r="O54" i="11" s="1"/>
  <c r="O51" i="11"/>
  <c r="O55" i="11" s="1"/>
  <c r="M136" i="11"/>
  <c r="N130" i="11"/>
  <c r="N14" i="11" s="1"/>
  <c r="N180" i="11"/>
  <c r="N179" i="11"/>
  <c r="M190" i="11"/>
  <c r="M189" i="11"/>
  <c r="N129" i="11"/>
  <c r="M133" i="11"/>
  <c r="L134" i="11"/>
  <c r="L135" i="11"/>
  <c r="N128" i="11"/>
  <c r="M132" i="11"/>
  <c r="O77" i="11"/>
  <c r="O76" i="11"/>
  <c r="O75" i="11"/>
  <c r="P71" i="11"/>
  <c r="P12" i="11" s="1"/>
  <c r="P70" i="11"/>
  <c r="P74" i="11" s="1"/>
  <c r="P69" i="11"/>
  <c r="P73" i="11" s="1"/>
  <c r="N58" i="11"/>
  <c r="N57" i="11"/>
  <c r="N56" i="11"/>
  <c r="Q7" i="11"/>
  <c r="P27" i="11"/>
  <c r="Q25" i="11"/>
  <c r="Q163" i="11" s="1"/>
  <c r="Q170" i="11" s="1"/>
  <c r="P26" i="11"/>
  <c r="S4" i="11"/>
  <c r="I32" i="3"/>
  <c r="I33" i="3" s="1"/>
  <c r="I34" i="3" s="1"/>
  <c r="I32" i="2"/>
  <c r="I33" i="2" s="1"/>
  <c r="I34" i="2" s="1"/>
  <c r="C30" i="10"/>
  <c r="I30" i="10" s="1"/>
  <c r="G29" i="10"/>
  <c r="F29" i="10"/>
  <c r="Q173" i="11" l="1"/>
  <c r="Q174" i="11"/>
  <c r="P175" i="11"/>
  <c r="P181" i="11" s="1"/>
  <c r="O171" i="11"/>
  <c r="O15" i="11" s="1"/>
  <c r="P167" i="11"/>
  <c r="P166" i="11"/>
  <c r="S6" i="11"/>
  <c r="S7" i="11" s="1"/>
  <c r="S10" i="11"/>
  <c r="Q168" i="11"/>
  <c r="Q169" i="11"/>
  <c r="Q165" i="11"/>
  <c r="M191" i="11"/>
  <c r="P52" i="11"/>
  <c r="P11" i="11" s="1"/>
  <c r="P50" i="11"/>
  <c r="P54" i="11" s="1"/>
  <c r="O184" i="11"/>
  <c r="O188" i="11" s="1"/>
  <c r="O183" i="11"/>
  <c r="O187" i="11" s="1"/>
  <c r="P177" i="11"/>
  <c r="P178" i="11"/>
  <c r="P51" i="11"/>
  <c r="P55" i="11" s="1"/>
  <c r="N185" i="11"/>
  <c r="N136" i="11"/>
  <c r="O130" i="11"/>
  <c r="O14" i="11" s="1"/>
  <c r="N189" i="11"/>
  <c r="N190" i="11"/>
  <c r="O179" i="11"/>
  <c r="O180" i="11"/>
  <c r="M135" i="11"/>
  <c r="M134" i="11"/>
  <c r="O128" i="11"/>
  <c r="N132" i="11"/>
  <c r="O129" i="11"/>
  <c r="N133" i="11"/>
  <c r="P75" i="11"/>
  <c r="P76" i="11"/>
  <c r="P77" i="11"/>
  <c r="Q71" i="11"/>
  <c r="Q12" i="11" s="1"/>
  <c r="Q70" i="11"/>
  <c r="Q74" i="11" s="1"/>
  <c r="Q69" i="11"/>
  <c r="Q73" i="11" s="1"/>
  <c r="O58" i="11"/>
  <c r="O57" i="11"/>
  <c r="O56" i="11"/>
  <c r="Q27" i="11"/>
  <c r="R25" i="11"/>
  <c r="R163" i="11" s="1"/>
  <c r="R170" i="11" s="1"/>
  <c r="Q26" i="11"/>
  <c r="T4" i="11"/>
  <c r="J32" i="3"/>
  <c r="J33" i="3" s="1"/>
  <c r="J34" i="3" s="1"/>
  <c r="J32" i="2"/>
  <c r="J33" i="2" s="1"/>
  <c r="J34" i="2" s="1"/>
  <c r="C31" i="10"/>
  <c r="I31" i="10" s="1"/>
  <c r="F30" i="10"/>
  <c r="G30" i="10"/>
  <c r="R173" i="11" l="1"/>
  <c r="R174" i="11"/>
  <c r="Q175" i="11"/>
  <c r="Q181" i="11" s="1"/>
  <c r="P171" i="11"/>
  <c r="P15" i="11" s="1"/>
  <c r="Q167" i="11"/>
  <c r="Q166" i="11"/>
  <c r="T10" i="11"/>
  <c r="T6" i="11"/>
  <c r="T7" i="11" s="1"/>
  <c r="R165" i="11"/>
  <c r="R168" i="11"/>
  <c r="R169" i="11"/>
  <c r="N191" i="11"/>
  <c r="P184" i="11"/>
  <c r="P188" i="11" s="1"/>
  <c r="P183" i="11"/>
  <c r="P187" i="11" s="1"/>
  <c r="Q51" i="11"/>
  <c r="Q55" i="11" s="1"/>
  <c r="Q178" i="11"/>
  <c r="Q177" i="11"/>
  <c r="Q52" i="11"/>
  <c r="Q11" i="11" s="1"/>
  <c r="Q50" i="11"/>
  <c r="Q54" i="11" s="1"/>
  <c r="O185" i="11"/>
  <c r="O136" i="11"/>
  <c r="F18" i="16" s="1"/>
  <c r="Q77" i="11"/>
  <c r="P130" i="11"/>
  <c r="P14" i="11" s="1"/>
  <c r="O189" i="11"/>
  <c r="O190" i="11"/>
  <c r="P180" i="11"/>
  <c r="P179" i="11"/>
  <c r="N134" i="11"/>
  <c r="N135" i="11"/>
  <c r="P128" i="11"/>
  <c r="O132" i="11"/>
  <c r="F17" i="16" s="1"/>
  <c r="P129" i="11"/>
  <c r="O133" i="11"/>
  <c r="Q75" i="11"/>
  <c r="Q76" i="11"/>
  <c r="R71" i="11"/>
  <c r="R12" i="11" s="1"/>
  <c r="R70" i="11"/>
  <c r="R74" i="11" s="1"/>
  <c r="R69" i="11"/>
  <c r="R73" i="11" s="1"/>
  <c r="P58" i="11"/>
  <c r="P57" i="11"/>
  <c r="P56" i="11"/>
  <c r="U4" i="11"/>
  <c r="S25" i="11"/>
  <c r="S163" i="11" s="1"/>
  <c r="S170" i="11" s="1"/>
  <c r="R27" i="11"/>
  <c r="R26" i="11"/>
  <c r="K32" i="3"/>
  <c r="K33" i="3" s="1"/>
  <c r="K34" i="3" s="1"/>
  <c r="K32" i="2"/>
  <c r="C32" i="10"/>
  <c r="I32" i="10" s="1"/>
  <c r="F31" i="10"/>
  <c r="G31" i="10"/>
  <c r="Q171" i="11" l="1"/>
  <c r="Q15" i="11" s="1"/>
  <c r="R175" i="11"/>
  <c r="R181" i="11" s="1"/>
  <c r="S173" i="11"/>
  <c r="S174" i="11"/>
  <c r="R166" i="11"/>
  <c r="R167" i="11"/>
  <c r="U10" i="11"/>
  <c r="U6" i="11"/>
  <c r="U7" i="11" s="1"/>
  <c r="S169" i="11"/>
  <c r="S165" i="11"/>
  <c r="S168" i="11"/>
  <c r="O191" i="11"/>
  <c r="R52" i="11"/>
  <c r="R11" i="11" s="1"/>
  <c r="R50" i="11"/>
  <c r="R54" i="11" s="1"/>
  <c r="R51" i="11"/>
  <c r="R55" i="11" s="1"/>
  <c r="Q183" i="11"/>
  <c r="Q187" i="11" s="1"/>
  <c r="Q184" i="11"/>
  <c r="Q188" i="11" s="1"/>
  <c r="P185" i="11"/>
  <c r="R178" i="11"/>
  <c r="R177" i="11"/>
  <c r="R77" i="11"/>
  <c r="P136" i="11"/>
  <c r="Q130" i="11"/>
  <c r="Q14" i="11" s="1"/>
  <c r="Q179" i="11"/>
  <c r="Q180" i="11"/>
  <c r="P190" i="11"/>
  <c r="P189" i="11"/>
  <c r="Q128" i="11"/>
  <c r="P132" i="11"/>
  <c r="Q129" i="11"/>
  <c r="P133" i="11"/>
  <c r="O134" i="11"/>
  <c r="F15" i="16" s="1"/>
  <c r="O135" i="11"/>
  <c r="F16" i="16" s="1"/>
  <c r="R76" i="11"/>
  <c r="R75" i="11"/>
  <c r="S71" i="11"/>
  <c r="S12" i="11" s="1"/>
  <c r="S69" i="11"/>
  <c r="S73" i="11" s="1"/>
  <c r="S70" i="11"/>
  <c r="S74" i="11" s="1"/>
  <c r="Q58" i="11"/>
  <c r="Q57" i="11"/>
  <c r="Q56" i="11"/>
  <c r="T25" i="11"/>
  <c r="T163" i="11" s="1"/>
  <c r="T170" i="11" s="1"/>
  <c r="S26" i="11"/>
  <c r="S27" i="11"/>
  <c r="V4" i="11"/>
  <c r="L32" i="3"/>
  <c r="L33" i="3" s="1"/>
  <c r="L34" i="3" s="1"/>
  <c r="L32" i="2"/>
  <c r="L33" i="2" s="1"/>
  <c r="L34" i="2" s="1"/>
  <c r="K33" i="2"/>
  <c r="K34" i="2" s="1"/>
  <c r="C33" i="10"/>
  <c r="I33" i="10" s="1"/>
  <c r="G32" i="10"/>
  <c r="F32" i="10"/>
  <c r="S175" i="11" l="1"/>
  <c r="S181" i="11" s="1"/>
  <c r="T173" i="11"/>
  <c r="T174" i="11"/>
  <c r="R171" i="11"/>
  <c r="R15" i="11" s="1"/>
  <c r="S167" i="11"/>
  <c r="S166" i="11"/>
  <c r="V6" i="11"/>
  <c r="V7" i="11" s="1"/>
  <c r="V10" i="11"/>
  <c r="T168" i="11"/>
  <c r="T169" i="11"/>
  <c r="T165" i="11"/>
  <c r="P191" i="11"/>
  <c r="R183" i="11"/>
  <c r="R187" i="11" s="1"/>
  <c r="R184" i="11"/>
  <c r="R188" i="11" s="1"/>
  <c r="S178" i="11"/>
  <c r="S177" i="11"/>
  <c r="Q185" i="11"/>
  <c r="S52" i="11"/>
  <c r="S11" i="11" s="1"/>
  <c r="S50" i="11"/>
  <c r="S54" i="11" s="1"/>
  <c r="S51" i="11"/>
  <c r="S55" i="11" s="1"/>
  <c r="S77" i="11"/>
  <c r="Q136" i="11"/>
  <c r="R130" i="11"/>
  <c r="R14" i="11" s="1"/>
  <c r="R179" i="11"/>
  <c r="R180" i="11"/>
  <c r="Q190" i="11"/>
  <c r="Q189" i="11"/>
  <c r="P134" i="11"/>
  <c r="P135" i="11"/>
  <c r="R129" i="11"/>
  <c r="Q133" i="11"/>
  <c r="R128" i="11"/>
  <c r="Q132" i="11"/>
  <c r="S76" i="11"/>
  <c r="S75" i="11"/>
  <c r="T71" i="11"/>
  <c r="T12" i="11" s="1"/>
  <c r="T70" i="11"/>
  <c r="T74" i="11" s="1"/>
  <c r="T69" i="11"/>
  <c r="T73" i="11" s="1"/>
  <c r="R58" i="11"/>
  <c r="R56" i="11"/>
  <c r="R57" i="11"/>
  <c r="W4" i="11"/>
  <c r="T26" i="11"/>
  <c r="T27" i="11"/>
  <c r="U25" i="11"/>
  <c r="U163" i="11" s="1"/>
  <c r="U170" i="11" s="1"/>
  <c r="M32" i="3"/>
  <c r="M33" i="3" s="1"/>
  <c r="M34" i="3" s="1"/>
  <c r="M32" i="2"/>
  <c r="M33" i="2" s="1"/>
  <c r="M34" i="2" s="1"/>
  <c r="C34" i="10"/>
  <c r="I34" i="10" s="1"/>
  <c r="F33" i="10"/>
  <c r="G33" i="10"/>
  <c r="S171" i="11" l="1"/>
  <c r="S15" i="11" s="1"/>
  <c r="U173" i="11"/>
  <c r="U174" i="11"/>
  <c r="T175" i="11"/>
  <c r="T181" i="11" s="1"/>
  <c r="T166" i="11"/>
  <c r="T167" i="11"/>
  <c r="W10" i="11"/>
  <c r="W6" i="11"/>
  <c r="W7" i="11" s="1"/>
  <c r="U168" i="11"/>
  <c r="U165" i="11"/>
  <c r="U169" i="11"/>
  <c r="Q191" i="11"/>
  <c r="R185" i="11"/>
  <c r="T177" i="11"/>
  <c r="T178" i="11"/>
  <c r="T51" i="11"/>
  <c r="T55" i="11" s="1"/>
  <c r="S184" i="11"/>
  <c r="S188" i="11" s="1"/>
  <c r="S183" i="11"/>
  <c r="S187" i="11" s="1"/>
  <c r="T52" i="11"/>
  <c r="T11" i="11" s="1"/>
  <c r="T50" i="11"/>
  <c r="T54" i="11" s="1"/>
  <c r="T77" i="11"/>
  <c r="R136" i="11"/>
  <c r="S130" i="11"/>
  <c r="S14" i="11" s="1"/>
  <c r="S179" i="11"/>
  <c r="S180" i="11"/>
  <c r="R190" i="11"/>
  <c r="R189" i="11"/>
  <c r="S128" i="11"/>
  <c r="R132" i="11"/>
  <c r="Q134" i="11"/>
  <c r="Q135" i="11"/>
  <c r="S129" i="11"/>
  <c r="R133" i="11"/>
  <c r="T75" i="11"/>
  <c r="T76" i="11"/>
  <c r="U71" i="11"/>
  <c r="U12" i="11" s="1"/>
  <c r="U70" i="11"/>
  <c r="U74" i="11" s="1"/>
  <c r="U69" i="11"/>
  <c r="U73" i="11" s="1"/>
  <c r="S58" i="11"/>
  <c r="S56" i="11"/>
  <c r="S57" i="11"/>
  <c r="X4" i="11"/>
  <c r="U26" i="11"/>
  <c r="U27" i="11"/>
  <c r="V25" i="11"/>
  <c r="V163" i="11" s="1"/>
  <c r="V170" i="11" s="1"/>
  <c r="N32" i="3"/>
  <c r="N33" i="3" s="1"/>
  <c r="N34" i="3" s="1"/>
  <c r="N32" i="2"/>
  <c r="N33" i="2" s="1"/>
  <c r="N34" i="2" s="1"/>
  <c r="C35" i="10"/>
  <c r="I35" i="10" s="1"/>
  <c r="F34" i="10"/>
  <c r="G34" i="10"/>
  <c r="V173" i="11" l="1"/>
  <c r="V174" i="11"/>
  <c r="U175" i="11"/>
  <c r="T171" i="11"/>
  <c r="T15" i="11" s="1"/>
  <c r="U167" i="11"/>
  <c r="U166" i="11"/>
  <c r="X10" i="11"/>
  <c r="X6" i="11"/>
  <c r="X7" i="11" s="1"/>
  <c r="V165" i="11"/>
  <c r="V169" i="11"/>
  <c r="V168" i="11"/>
  <c r="R191" i="11"/>
  <c r="U51" i="11"/>
  <c r="U55" i="11" s="1"/>
  <c r="S185" i="11"/>
  <c r="U181" i="11"/>
  <c r="U177" i="11"/>
  <c r="U178" i="11"/>
  <c r="T184" i="11"/>
  <c r="T188" i="11" s="1"/>
  <c r="T183" i="11"/>
  <c r="T187" i="11" s="1"/>
  <c r="U52" i="11"/>
  <c r="U11" i="11" s="1"/>
  <c r="U50" i="11"/>
  <c r="U54" i="11" s="1"/>
  <c r="U77" i="11"/>
  <c r="S136" i="11"/>
  <c r="T130" i="11"/>
  <c r="T14" i="11" s="1"/>
  <c r="T179" i="11"/>
  <c r="T180" i="11"/>
  <c r="S190" i="11"/>
  <c r="S189" i="11"/>
  <c r="R134" i="11"/>
  <c r="R135" i="11"/>
  <c r="T129" i="11"/>
  <c r="S133" i="11"/>
  <c r="T128" i="11"/>
  <c r="S132" i="11"/>
  <c r="U75" i="11"/>
  <c r="U76" i="11"/>
  <c r="V71" i="11"/>
  <c r="V12" i="11" s="1"/>
  <c r="V70" i="11"/>
  <c r="V74" i="11" s="1"/>
  <c r="V69" i="11"/>
  <c r="V73" i="11" s="1"/>
  <c r="T57" i="11"/>
  <c r="T56" i="11"/>
  <c r="T58" i="11"/>
  <c r="V26" i="11"/>
  <c r="W25" i="11"/>
  <c r="W163" i="11" s="1"/>
  <c r="W170" i="11" s="1"/>
  <c r="V27" i="11"/>
  <c r="Y4" i="11"/>
  <c r="O32" i="3"/>
  <c r="O33" i="3" s="1"/>
  <c r="O34" i="3" s="1"/>
  <c r="O32" i="2"/>
  <c r="O33" i="2" s="1"/>
  <c r="O34" i="2" s="1"/>
  <c r="C36" i="10"/>
  <c r="I36" i="10" s="1"/>
  <c r="G35" i="10"/>
  <c r="F35" i="10"/>
  <c r="U171" i="11" l="1"/>
  <c r="U15" i="11" s="1"/>
  <c r="W173" i="11"/>
  <c r="W174" i="11"/>
  <c r="V175" i="11"/>
  <c r="V166" i="11"/>
  <c r="V167" i="11"/>
  <c r="Y6" i="11"/>
  <c r="Y7" i="11" s="1"/>
  <c r="Y10" i="11"/>
  <c r="W169" i="11"/>
  <c r="W165" i="11"/>
  <c r="W168" i="11"/>
  <c r="S191" i="11"/>
  <c r="U183" i="11"/>
  <c r="U187" i="11" s="1"/>
  <c r="U184" i="11"/>
  <c r="U188" i="11" s="1"/>
  <c r="V51" i="11"/>
  <c r="V55" i="11" s="1"/>
  <c r="T185" i="11"/>
  <c r="V52" i="11"/>
  <c r="V11" i="11" s="1"/>
  <c r="V50" i="11"/>
  <c r="V54" i="11" s="1"/>
  <c r="V178" i="11"/>
  <c r="V181" i="11"/>
  <c r="V177" i="11"/>
  <c r="V77" i="11"/>
  <c r="T136" i="11"/>
  <c r="U130" i="11"/>
  <c r="U14" i="11" s="1"/>
  <c r="T189" i="11"/>
  <c r="T190" i="11"/>
  <c r="U180" i="11"/>
  <c r="U179" i="11"/>
  <c r="U128" i="11"/>
  <c r="T132" i="11"/>
  <c r="U129" i="11"/>
  <c r="T133" i="11"/>
  <c r="S135" i="11"/>
  <c r="S134" i="11"/>
  <c r="V75" i="11"/>
  <c r="V76" i="11"/>
  <c r="W71" i="11"/>
  <c r="W12" i="11" s="1"/>
  <c r="W69" i="11"/>
  <c r="W73" i="11" s="1"/>
  <c r="W70" i="11"/>
  <c r="W74" i="11" s="1"/>
  <c r="U57" i="11"/>
  <c r="U56" i="11"/>
  <c r="U58" i="11"/>
  <c r="W27" i="11"/>
  <c r="X25" i="11"/>
  <c r="X163" i="11" s="1"/>
  <c r="X170" i="11" s="1"/>
  <c r="W26" i="11"/>
  <c r="Z4" i="11"/>
  <c r="P32" i="3"/>
  <c r="P33" i="3" s="1"/>
  <c r="P32" i="2"/>
  <c r="P33" i="2" s="1"/>
  <c r="C37" i="10"/>
  <c r="I37" i="10" s="1"/>
  <c r="G36" i="10"/>
  <c r="F36" i="10"/>
  <c r="W175" i="11" l="1"/>
  <c r="W181" i="11" s="1"/>
  <c r="X173" i="11"/>
  <c r="X174" i="11"/>
  <c r="V171" i="11"/>
  <c r="V15" i="11" s="1"/>
  <c r="W167" i="11"/>
  <c r="W166" i="11"/>
  <c r="Z6" i="11"/>
  <c r="Z7" i="11" s="1"/>
  <c r="Z10" i="11"/>
  <c r="X168" i="11"/>
  <c r="X169" i="11"/>
  <c r="X165" i="11"/>
  <c r="T191" i="11"/>
  <c r="W178" i="11"/>
  <c r="W177" i="11"/>
  <c r="U185" i="11"/>
  <c r="W51" i="11"/>
  <c r="W55" i="11" s="1"/>
  <c r="W52" i="11"/>
  <c r="W11" i="11" s="1"/>
  <c r="W50" i="11"/>
  <c r="W54" i="11" s="1"/>
  <c r="V183" i="11"/>
  <c r="V187" i="11" s="1"/>
  <c r="V184" i="11"/>
  <c r="V188" i="11" s="1"/>
  <c r="W77" i="11"/>
  <c r="U136" i="11"/>
  <c r="V130" i="11"/>
  <c r="V14" i="11" s="1"/>
  <c r="U190" i="11"/>
  <c r="U189" i="11"/>
  <c r="V179" i="11"/>
  <c r="V180" i="11"/>
  <c r="V129" i="11"/>
  <c r="U133" i="11"/>
  <c r="T134" i="11"/>
  <c r="T135" i="11"/>
  <c r="V128" i="11"/>
  <c r="U132" i="11"/>
  <c r="W76" i="11"/>
  <c r="W75" i="11"/>
  <c r="X71" i="11"/>
  <c r="X12" i="11" s="1"/>
  <c r="X70" i="11"/>
  <c r="X74" i="11" s="1"/>
  <c r="X69" i="11"/>
  <c r="X73" i="11" s="1"/>
  <c r="V57" i="11"/>
  <c r="V56" i="11"/>
  <c r="V58" i="11"/>
  <c r="AA4" i="11"/>
  <c r="X27" i="11"/>
  <c r="X26" i="11"/>
  <c r="Y25" i="11"/>
  <c r="Y163" i="11" s="1"/>
  <c r="Y170" i="11" s="1"/>
  <c r="P34" i="2"/>
  <c r="Q32" i="3"/>
  <c r="Q33" i="3" s="1"/>
  <c r="Q34" i="3" s="1"/>
  <c r="Q32" i="2"/>
  <c r="Q33" i="2" s="1"/>
  <c r="Q34" i="2" s="1"/>
  <c r="P34" i="3"/>
  <c r="C38" i="10"/>
  <c r="I38" i="10" s="1"/>
  <c r="G37" i="10"/>
  <c r="F37" i="10"/>
  <c r="Y173" i="11" l="1"/>
  <c r="Y174" i="11"/>
  <c r="X175" i="11"/>
  <c r="X181" i="11" s="1"/>
  <c r="W171" i="11"/>
  <c r="W15" i="11" s="1"/>
  <c r="X167" i="11"/>
  <c r="X166" i="11"/>
  <c r="AA10" i="11"/>
  <c r="AA6" i="11"/>
  <c r="AA7" i="11" s="1"/>
  <c r="Y168" i="11"/>
  <c r="Y169" i="11"/>
  <c r="Y165" i="11"/>
  <c r="U191" i="11"/>
  <c r="W184" i="11"/>
  <c r="W188" i="11" s="1"/>
  <c r="W183" i="11"/>
  <c r="W187" i="11" s="1"/>
  <c r="X177" i="11"/>
  <c r="X178" i="11"/>
  <c r="X52" i="11"/>
  <c r="X11" i="11" s="1"/>
  <c r="X50" i="11"/>
  <c r="X54" i="11" s="1"/>
  <c r="X51" i="11"/>
  <c r="X55" i="11" s="1"/>
  <c r="V185" i="11"/>
  <c r="X77" i="11"/>
  <c r="V136" i="11"/>
  <c r="W130" i="11"/>
  <c r="W14" i="11" s="1"/>
  <c r="V189" i="11"/>
  <c r="V190" i="11"/>
  <c r="W179" i="11"/>
  <c r="W180" i="11"/>
  <c r="W128" i="11"/>
  <c r="V132" i="11"/>
  <c r="U135" i="11"/>
  <c r="U134" i="11"/>
  <c r="W129" i="11"/>
  <c r="V133" i="11"/>
  <c r="X75" i="11"/>
  <c r="X76" i="11"/>
  <c r="Y71" i="11"/>
  <c r="Y12" i="11" s="1"/>
  <c r="Y70" i="11"/>
  <c r="Y74" i="11" s="1"/>
  <c r="Y69" i="11"/>
  <c r="Y73" i="11" s="1"/>
  <c r="W57" i="11"/>
  <c r="W56" i="11"/>
  <c r="W58" i="11"/>
  <c r="Y26" i="11"/>
  <c r="Y27" i="11"/>
  <c r="Z25" i="11"/>
  <c r="Z163" i="11" s="1"/>
  <c r="Z170" i="11" s="1"/>
  <c r="AB4" i="11"/>
  <c r="R32" i="3"/>
  <c r="R33" i="3" s="1"/>
  <c r="R34" i="3" s="1"/>
  <c r="R32" i="2"/>
  <c r="R33" i="2" s="1"/>
  <c r="R34" i="2" s="1"/>
  <c r="C39" i="10"/>
  <c r="I39" i="10" s="1"/>
  <c r="F38" i="10"/>
  <c r="G38" i="10"/>
  <c r="X171" i="11" l="1"/>
  <c r="X15" i="11" s="1"/>
  <c r="Y175" i="11"/>
  <c r="Y181" i="11" s="1"/>
  <c r="Z173" i="11"/>
  <c r="Z174" i="11"/>
  <c r="Y167" i="11"/>
  <c r="Y166" i="11"/>
  <c r="AB6" i="11"/>
  <c r="AB7" i="11" s="1"/>
  <c r="AB10" i="11"/>
  <c r="Z165" i="11"/>
  <c r="Z169" i="11"/>
  <c r="Z168" i="11"/>
  <c r="V191" i="11"/>
  <c r="Y177" i="11"/>
  <c r="Y178" i="11"/>
  <c r="X184" i="11"/>
  <c r="X188" i="11" s="1"/>
  <c r="X183" i="11"/>
  <c r="X187" i="11" s="1"/>
  <c r="Y52" i="11"/>
  <c r="Y11" i="11" s="1"/>
  <c r="Y50" i="11"/>
  <c r="Y54" i="11" s="1"/>
  <c r="W185" i="11"/>
  <c r="Y51" i="11"/>
  <c r="Y55" i="11" s="1"/>
  <c r="Y77" i="11"/>
  <c r="W136" i="11"/>
  <c r="X130" i="11"/>
  <c r="X14" i="11" s="1"/>
  <c r="X180" i="11"/>
  <c r="X179" i="11"/>
  <c r="W189" i="11"/>
  <c r="W190" i="11"/>
  <c r="X129" i="11"/>
  <c r="W133" i="11"/>
  <c r="V134" i="11"/>
  <c r="V135" i="11"/>
  <c r="X128" i="11"/>
  <c r="W132" i="11"/>
  <c r="Y75" i="11"/>
  <c r="Y76" i="11"/>
  <c r="Z71" i="11"/>
  <c r="Z12" i="11" s="1"/>
  <c r="Z70" i="11"/>
  <c r="Z74" i="11" s="1"/>
  <c r="Z69" i="11"/>
  <c r="Z73" i="11" s="1"/>
  <c r="X58" i="11"/>
  <c r="X57" i="11"/>
  <c r="X56" i="11"/>
  <c r="AA25" i="11"/>
  <c r="AA163" i="11" s="1"/>
  <c r="AA170" i="11" s="1"/>
  <c r="Z27" i="11"/>
  <c r="Z26" i="11"/>
  <c r="AC4" i="11"/>
  <c r="S32" i="3"/>
  <c r="S33" i="3" s="1"/>
  <c r="S34" i="3" s="1"/>
  <c r="S32" i="2"/>
  <c r="S33" i="2" s="1"/>
  <c r="S34" i="2" s="1"/>
  <c r="C40" i="10"/>
  <c r="I40" i="10" s="1"/>
  <c r="G39" i="10"/>
  <c r="F39" i="10"/>
  <c r="AA173" i="11" l="1"/>
  <c r="AA174" i="11"/>
  <c r="Z175" i="11"/>
  <c r="Z181" i="11" s="1"/>
  <c r="Y171" i="11"/>
  <c r="Y15" i="11" s="1"/>
  <c r="Z166" i="11"/>
  <c r="Z167" i="11"/>
  <c r="AC10" i="11"/>
  <c r="AC6" i="11"/>
  <c r="AA169" i="11"/>
  <c r="AA165" i="11"/>
  <c r="AA168" i="11"/>
  <c r="W191" i="11"/>
  <c r="Z178" i="11"/>
  <c r="Z177" i="11"/>
  <c r="Z52" i="11"/>
  <c r="Z11" i="11" s="1"/>
  <c r="Z50" i="11"/>
  <c r="Z54" i="11" s="1"/>
  <c r="Z51" i="11"/>
  <c r="Z55" i="11" s="1"/>
  <c r="X185" i="11"/>
  <c r="Y183" i="11"/>
  <c r="Y187" i="11" s="1"/>
  <c r="Y184" i="11"/>
  <c r="Y188" i="11" s="1"/>
  <c r="X136" i="11"/>
  <c r="Z77" i="11"/>
  <c r="Y130" i="11"/>
  <c r="Y14" i="11" s="1"/>
  <c r="X190" i="11"/>
  <c r="X189" i="11"/>
  <c r="Y179" i="11"/>
  <c r="Y180" i="11"/>
  <c r="W134" i="11"/>
  <c r="W135" i="11"/>
  <c r="Y128" i="11"/>
  <c r="X132" i="11"/>
  <c r="Y129" i="11"/>
  <c r="X133" i="11"/>
  <c r="Z76" i="11"/>
  <c r="Z75" i="11"/>
  <c r="AA71" i="11"/>
  <c r="AA12" i="11" s="1"/>
  <c r="AA70" i="11"/>
  <c r="AA74" i="11" s="1"/>
  <c r="AA69" i="11"/>
  <c r="AA73" i="11" s="1"/>
  <c r="Y58" i="11"/>
  <c r="Y57" i="11"/>
  <c r="Y56" i="11"/>
  <c r="AD4" i="11"/>
  <c r="AB25" i="11"/>
  <c r="AB163" i="11" s="1"/>
  <c r="AB170" i="11" s="1"/>
  <c r="AA27" i="11"/>
  <c r="AA26" i="11"/>
  <c r="T32" i="3"/>
  <c r="T33" i="3" s="1"/>
  <c r="T34" i="3" s="1"/>
  <c r="T32" i="2"/>
  <c r="T33" i="2" s="1"/>
  <c r="T34" i="2" s="1"/>
  <c r="C41" i="10"/>
  <c r="I41" i="10" s="1"/>
  <c r="G40" i="10"/>
  <c r="F40" i="10"/>
  <c r="AA175" i="11" l="1"/>
  <c r="AA181" i="11" s="1"/>
  <c r="AB173" i="11"/>
  <c r="AB174" i="11"/>
  <c r="Z171" i="11"/>
  <c r="Z15" i="11" s="1"/>
  <c r="AA167" i="11"/>
  <c r="AA166" i="11"/>
  <c r="AD10" i="11"/>
  <c r="AD6" i="11"/>
  <c r="AD7" i="11" s="1"/>
  <c r="AB168" i="11"/>
  <c r="AB169" i="11"/>
  <c r="AB165" i="11"/>
  <c r="X191" i="11"/>
  <c r="AA51" i="11"/>
  <c r="AA55" i="11" s="1"/>
  <c r="AA52" i="11"/>
  <c r="AA11" i="11" s="1"/>
  <c r="AA50" i="11"/>
  <c r="AA54" i="11" s="1"/>
  <c r="Z184" i="11"/>
  <c r="Z188" i="11" s="1"/>
  <c r="Z183" i="11"/>
  <c r="Z187" i="11" s="1"/>
  <c r="AA178" i="11"/>
  <c r="AA177" i="11"/>
  <c r="Y185" i="11"/>
  <c r="Z130" i="11"/>
  <c r="Z14" i="11" s="1"/>
  <c r="AA77" i="11"/>
  <c r="Y136" i="11"/>
  <c r="Z179" i="11"/>
  <c r="Z180" i="11"/>
  <c r="Y189" i="11"/>
  <c r="Y190" i="11"/>
  <c r="X134" i="11"/>
  <c r="X135" i="11"/>
  <c r="Z128" i="11"/>
  <c r="Y132" i="11"/>
  <c r="Z129" i="11"/>
  <c r="Y133" i="11"/>
  <c r="AA75" i="11"/>
  <c r="AA76" i="11"/>
  <c r="AB71" i="11"/>
  <c r="AB12" i="11" s="1"/>
  <c r="AB69" i="11"/>
  <c r="AB73" i="11" s="1"/>
  <c r="AB70" i="11"/>
  <c r="AB74" i="11" s="1"/>
  <c r="Z58" i="11"/>
  <c r="Z56" i="11"/>
  <c r="Z57" i="11"/>
  <c r="AC7" i="11"/>
  <c r="AC25" i="11"/>
  <c r="AC163" i="11" s="1"/>
  <c r="AC170" i="11" s="1"/>
  <c r="AB27" i="11"/>
  <c r="AB26" i="11"/>
  <c r="AE4" i="11"/>
  <c r="U32" i="3"/>
  <c r="U33" i="3" s="1"/>
  <c r="U34" i="3" s="1"/>
  <c r="U32" i="2"/>
  <c r="U33" i="2" s="1"/>
  <c r="U34" i="2" s="1"/>
  <c r="C42" i="10"/>
  <c r="I42" i="10" s="1"/>
  <c r="F41" i="10"/>
  <c r="G41" i="10"/>
  <c r="AA171" i="11" l="1"/>
  <c r="AA15" i="11" s="1"/>
  <c r="AB175" i="11"/>
  <c r="AB181" i="11" s="1"/>
  <c r="AC173" i="11"/>
  <c r="AC174" i="11"/>
  <c r="AB166" i="11"/>
  <c r="AB167" i="11"/>
  <c r="AE10" i="11"/>
  <c r="AE6" i="11"/>
  <c r="AC168" i="11"/>
  <c r="AC165" i="11"/>
  <c r="AC169" i="11"/>
  <c r="Y191" i="11"/>
  <c r="AA130" i="11"/>
  <c r="AA14" i="11" s="1"/>
  <c r="Z136" i="11"/>
  <c r="AB51" i="11"/>
  <c r="AB55" i="11" s="1"/>
  <c r="AB52" i="11"/>
  <c r="AB11" i="11" s="1"/>
  <c r="AB50" i="11"/>
  <c r="AB54" i="11" s="1"/>
  <c r="AA184" i="11"/>
  <c r="AA188" i="11" s="1"/>
  <c r="AA183" i="11"/>
  <c r="AA187" i="11" s="1"/>
  <c r="Z185" i="11"/>
  <c r="AB177" i="11"/>
  <c r="AB178" i="11"/>
  <c r="AB77" i="11"/>
  <c r="Z190" i="11"/>
  <c r="Z189" i="11"/>
  <c r="AA180" i="11"/>
  <c r="AA179" i="11"/>
  <c r="Y134" i="11"/>
  <c r="Y135" i="11"/>
  <c r="AA128" i="11"/>
  <c r="Z132" i="11"/>
  <c r="AA129" i="11"/>
  <c r="Z133" i="11"/>
  <c r="AB75" i="11"/>
  <c r="AB76" i="11"/>
  <c r="AC71" i="11"/>
  <c r="AC12" i="11" s="1"/>
  <c r="AC70" i="11"/>
  <c r="AC74" i="11" s="1"/>
  <c r="AC69" i="11"/>
  <c r="AC73" i="11" s="1"/>
  <c r="AA58" i="11"/>
  <c r="AA56" i="11"/>
  <c r="AA57" i="11"/>
  <c r="AC26" i="11"/>
  <c r="AD25" i="11"/>
  <c r="AD163" i="11" s="1"/>
  <c r="AD170" i="11" s="1"/>
  <c r="AC27" i="11"/>
  <c r="AF4" i="11"/>
  <c r="V32" i="3"/>
  <c r="V33" i="3" s="1"/>
  <c r="V34" i="3" s="1"/>
  <c r="V32" i="2"/>
  <c r="V33" i="2" s="1"/>
  <c r="V34" i="2" s="1"/>
  <c r="C43" i="10"/>
  <c r="I43" i="10" s="1"/>
  <c r="F42" i="10"/>
  <c r="G42" i="10"/>
  <c r="AD173" i="11" l="1"/>
  <c r="AD174" i="11"/>
  <c r="AC175" i="11"/>
  <c r="AC181" i="11" s="1"/>
  <c r="AB171" i="11"/>
  <c r="AB15" i="11" s="1"/>
  <c r="AC167" i="11"/>
  <c r="AC166" i="11"/>
  <c r="AF6" i="11"/>
  <c r="AF7" i="11" s="1"/>
  <c r="AF10" i="11"/>
  <c r="AD165" i="11"/>
  <c r="AD169" i="11"/>
  <c r="AD168" i="11"/>
  <c r="AA136" i="11"/>
  <c r="AB130" i="11"/>
  <c r="AB14" i="11" s="1"/>
  <c r="Z191" i="11"/>
  <c r="AC51" i="11"/>
  <c r="AC55" i="11" s="1"/>
  <c r="AC177" i="11"/>
  <c r="AC178" i="11"/>
  <c r="AB184" i="11"/>
  <c r="AB188" i="11" s="1"/>
  <c r="AB183" i="11"/>
  <c r="AB187" i="11" s="1"/>
  <c r="AC52" i="11"/>
  <c r="AC11" i="11" s="1"/>
  <c r="AC50" i="11"/>
  <c r="AC54" i="11" s="1"/>
  <c r="AA185" i="11"/>
  <c r="AC77" i="11"/>
  <c r="AE7" i="11"/>
  <c r="AB179" i="11"/>
  <c r="AB180" i="11"/>
  <c r="AA190" i="11"/>
  <c r="AA189" i="11"/>
  <c r="AB129" i="11"/>
  <c r="AA133" i="11"/>
  <c r="AB128" i="11"/>
  <c r="AA132" i="11"/>
  <c r="Z134" i="11"/>
  <c r="Z135" i="11"/>
  <c r="AC75" i="11"/>
  <c r="AC76" i="11"/>
  <c r="AD71" i="11"/>
  <c r="AD12" i="11" s="1"/>
  <c r="AD70" i="11"/>
  <c r="AD74" i="11" s="1"/>
  <c r="AD69" i="11"/>
  <c r="AD73" i="11" s="1"/>
  <c r="AB58" i="11"/>
  <c r="AB57" i="11"/>
  <c r="AB56" i="11"/>
  <c r="AD26" i="11"/>
  <c r="AE25" i="11"/>
  <c r="AE163" i="11" s="1"/>
  <c r="AE170" i="11" s="1"/>
  <c r="AD27" i="11"/>
  <c r="AG4" i="11"/>
  <c r="W32" i="3"/>
  <c r="W33" i="3" s="1"/>
  <c r="W34" i="3" s="1"/>
  <c r="W32" i="2"/>
  <c r="W33" i="2" s="1"/>
  <c r="W34" i="2" s="1"/>
  <c r="C44" i="10"/>
  <c r="I44" i="10" s="1"/>
  <c r="G43" i="10"/>
  <c r="F43" i="10"/>
  <c r="AD175" i="11" l="1"/>
  <c r="AD181" i="11" s="1"/>
  <c r="AE173" i="11"/>
  <c r="AE174" i="11"/>
  <c r="AC171" i="11"/>
  <c r="AC15" i="11" s="1"/>
  <c r="AD166" i="11"/>
  <c r="AD167" i="11"/>
  <c r="AG6" i="11"/>
  <c r="AG10" i="11"/>
  <c r="AE169" i="11"/>
  <c r="AE165" i="11"/>
  <c r="AE168" i="11"/>
  <c r="AC130" i="11"/>
  <c r="AC14" i="11" s="1"/>
  <c r="AB136" i="11"/>
  <c r="AA191" i="11"/>
  <c r="AD178" i="11"/>
  <c r="AD177" i="11"/>
  <c r="AD51" i="11"/>
  <c r="AD55" i="11" s="1"/>
  <c r="AB185" i="11"/>
  <c r="AC183" i="11"/>
  <c r="AC187" i="11" s="1"/>
  <c r="AC184" i="11"/>
  <c r="AC188" i="11" s="1"/>
  <c r="AD52" i="11"/>
  <c r="AD11" i="11" s="1"/>
  <c r="AD50" i="11"/>
  <c r="AD54" i="11" s="1"/>
  <c r="AD77" i="11"/>
  <c r="AB189" i="11"/>
  <c r="AB190" i="11"/>
  <c r="AC180" i="11"/>
  <c r="AC179" i="11"/>
  <c r="AC128" i="11"/>
  <c r="AB132" i="11"/>
  <c r="AA135" i="11"/>
  <c r="AA134" i="11"/>
  <c r="AC129" i="11"/>
  <c r="AB133" i="11"/>
  <c r="AD75" i="11"/>
  <c r="AD76" i="11"/>
  <c r="AE71" i="11"/>
  <c r="AE12" i="11" s="1"/>
  <c r="AE70" i="11"/>
  <c r="AE74" i="11" s="1"/>
  <c r="AE69" i="11"/>
  <c r="AE73" i="11" s="1"/>
  <c r="AC58" i="11"/>
  <c r="AC57" i="11"/>
  <c r="AC56" i="11"/>
  <c r="AE27" i="11"/>
  <c r="AF25" i="11"/>
  <c r="AF163" i="11" s="1"/>
  <c r="AF170" i="11" s="1"/>
  <c r="AE26" i="11"/>
  <c r="AH4" i="11"/>
  <c r="X32" i="3"/>
  <c r="X33" i="3" s="1"/>
  <c r="X34" i="3" s="1"/>
  <c r="X32" i="2"/>
  <c r="X33" i="2" s="1"/>
  <c r="X34" i="2" s="1"/>
  <c r="C45" i="10"/>
  <c r="I45" i="10" s="1"/>
  <c r="G44" i="10"/>
  <c r="F44" i="10"/>
  <c r="AF173" i="11" l="1"/>
  <c r="AF174" i="11"/>
  <c r="AE175" i="11"/>
  <c r="AD171" i="11"/>
  <c r="AD15" i="11" s="1"/>
  <c r="AE167" i="11"/>
  <c r="AE166" i="11"/>
  <c r="AH6" i="11"/>
  <c r="AH7" i="11" s="1"/>
  <c r="AH10" i="11"/>
  <c r="AD130" i="11"/>
  <c r="AD14" i="11" s="1"/>
  <c r="AF168" i="11"/>
  <c r="AF169" i="11"/>
  <c r="AF165" i="11"/>
  <c r="AC136" i="11"/>
  <c r="AB191" i="11"/>
  <c r="AE51" i="11"/>
  <c r="AE55" i="11" s="1"/>
  <c r="AE52" i="11"/>
  <c r="AE11" i="11" s="1"/>
  <c r="AE50" i="11"/>
  <c r="AE54" i="11" s="1"/>
  <c r="AC185" i="11"/>
  <c r="AD184" i="11"/>
  <c r="AD188" i="11" s="1"/>
  <c r="AD183" i="11"/>
  <c r="AD187" i="11" s="1"/>
  <c r="AE178" i="11"/>
  <c r="AE177" i="11"/>
  <c r="AE181" i="11"/>
  <c r="AE77" i="11"/>
  <c r="AG7" i="11"/>
  <c r="AC190" i="11"/>
  <c r="AC189" i="11"/>
  <c r="AD179" i="11"/>
  <c r="AD180" i="11"/>
  <c r="AB134" i="11"/>
  <c r="AB135" i="11"/>
  <c r="AD129" i="11"/>
  <c r="AC133" i="11"/>
  <c r="AD128" i="11"/>
  <c r="AC132" i="11"/>
  <c r="AE76" i="11"/>
  <c r="AE75" i="11"/>
  <c r="AF71" i="11"/>
  <c r="AF12" i="11" s="1"/>
  <c r="AF70" i="11"/>
  <c r="AF74" i="11" s="1"/>
  <c r="AF69" i="11"/>
  <c r="AF73" i="11" s="1"/>
  <c r="AD58" i="11"/>
  <c r="AD57" i="11"/>
  <c r="AD56" i="11"/>
  <c r="AF27" i="11"/>
  <c r="AG25" i="11"/>
  <c r="AG163" i="11" s="1"/>
  <c r="AG170" i="11" s="1"/>
  <c r="AF26" i="11"/>
  <c r="AI4" i="11"/>
  <c r="Y32" i="3"/>
  <c r="Y33" i="3" s="1"/>
  <c r="Y34" i="3" s="1"/>
  <c r="Y32" i="2"/>
  <c r="Y33" i="2" s="1"/>
  <c r="Y34" i="2" s="1"/>
  <c r="C46" i="10"/>
  <c r="I46" i="10" s="1"/>
  <c r="G45" i="10"/>
  <c r="F45" i="10"/>
  <c r="AE130" i="11" l="1"/>
  <c r="AE14" i="11" s="1"/>
  <c r="AD136" i="11"/>
  <c r="AF175" i="11"/>
  <c r="AF181" i="11" s="1"/>
  <c r="AG173" i="11"/>
  <c r="AG174" i="11"/>
  <c r="AE171" i="11"/>
  <c r="AE15" i="11" s="1"/>
  <c r="AF167" i="11"/>
  <c r="AF166" i="11"/>
  <c r="AI10" i="11"/>
  <c r="AJ10" i="11" s="1"/>
  <c r="AI6" i="11"/>
  <c r="AI7" i="11" s="1"/>
  <c r="AI16" i="11"/>
  <c r="AG168" i="11"/>
  <c r="AG169" i="11"/>
  <c r="AG165" i="11"/>
  <c r="AC191" i="11"/>
  <c r="AF51" i="11"/>
  <c r="AF55" i="11" s="1"/>
  <c r="AE184" i="11"/>
  <c r="AE188" i="11" s="1"/>
  <c r="AE183" i="11"/>
  <c r="AE187" i="11" s="1"/>
  <c r="AF52" i="11"/>
  <c r="AF11" i="11" s="1"/>
  <c r="AF50" i="11"/>
  <c r="AF54" i="11" s="1"/>
  <c r="AF178" i="11"/>
  <c r="AD185" i="11"/>
  <c r="AF77" i="11"/>
  <c r="AF177" i="11"/>
  <c r="AD189" i="11"/>
  <c r="AD190" i="11"/>
  <c r="AE179" i="11"/>
  <c r="AE180" i="11"/>
  <c r="AE128" i="11"/>
  <c r="AD132" i="11"/>
  <c r="AC135" i="11"/>
  <c r="AC134" i="11"/>
  <c r="AE129" i="11"/>
  <c r="AD133" i="11"/>
  <c r="AF75" i="11"/>
  <c r="AF76" i="11"/>
  <c r="AG71" i="11"/>
  <c r="AG12" i="11" s="1"/>
  <c r="AG69" i="11"/>
  <c r="AG73" i="11" s="1"/>
  <c r="AG70" i="11"/>
  <c r="AG74" i="11" s="1"/>
  <c r="AE58" i="11"/>
  <c r="AE57" i="11"/>
  <c r="AE56" i="11"/>
  <c r="AG27" i="11"/>
  <c r="AG26" i="11"/>
  <c r="AH25" i="11"/>
  <c r="AH163" i="11" s="1"/>
  <c r="AH170" i="11" s="1"/>
  <c r="D83" i="11"/>
  <c r="Z32" i="3"/>
  <c r="Z33" i="3" s="1"/>
  <c r="Z34" i="3" s="1"/>
  <c r="Z32" i="2"/>
  <c r="Z33" i="2" s="1"/>
  <c r="Z34" i="2" s="1"/>
  <c r="C47" i="10"/>
  <c r="I47" i="10" s="1"/>
  <c r="F46" i="10"/>
  <c r="G46" i="10"/>
  <c r="AE136" i="11" l="1"/>
  <c r="AF130" i="11"/>
  <c r="AF14" i="11" s="1"/>
  <c r="AG175" i="11"/>
  <c r="AG181" i="11" s="1"/>
  <c r="AF171" i="11"/>
  <c r="AF15" i="11" s="1"/>
  <c r="AH173" i="11"/>
  <c r="AH174" i="11"/>
  <c r="AG167" i="11"/>
  <c r="AG166" i="11"/>
  <c r="D10" i="11"/>
  <c r="D11" i="13" s="1"/>
  <c r="E27" i="16"/>
  <c r="AH165" i="11"/>
  <c r="AH169" i="11"/>
  <c r="AH168" i="11"/>
  <c r="AD191" i="11"/>
  <c r="AG178" i="11"/>
  <c r="AG177" i="11"/>
  <c r="AE185" i="11"/>
  <c r="AF184" i="11"/>
  <c r="AF188" i="11" s="1"/>
  <c r="AF183" i="11"/>
  <c r="AF187" i="11" s="1"/>
  <c r="AG52" i="11"/>
  <c r="AG11" i="11" s="1"/>
  <c r="AG50" i="11"/>
  <c r="AG54" i="11" s="1"/>
  <c r="AG51" i="11"/>
  <c r="AG55" i="11" s="1"/>
  <c r="AG77" i="11"/>
  <c r="AJ6" i="11"/>
  <c r="D6" i="11" s="1"/>
  <c r="D7" i="13" s="1"/>
  <c r="AF180" i="11"/>
  <c r="AF179" i="11"/>
  <c r="AE189" i="11"/>
  <c r="AE190" i="11"/>
  <c r="AD134" i="11"/>
  <c r="AD135" i="11"/>
  <c r="AF129" i="11"/>
  <c r="AE133" i="11"/>
  <c r="AF128" i="11"/>
  <c r="AE132" i="11"/>
  <c r="AG75" i="11"/>
  <c r="AG76" i="11"/>
  <c r="AH71" i="11"/>
  <c r="AH12" i="11" s="1"/>
  <c r="AH69" i="11"/>
  <c r="AH73" i="11" s="1"/>
  <c r="AH70" i="11"/>
  <c r="AH74" i="11" s="1"/>
  <c r="AF58" i="11"/>
  <c r="AF57" i="11"/>
  <c r="AF56" i="11"/>
  <c r="AB85" i="11"/>
  <c r="T85" i="11"/>
  <c r="L85" i="11"/>
  <c r="AI85" i="11"/>
  <c r="AA85" i="11"/>
  <c r="S85" i="11"/>
  <c r="K85" i="11"/>
  <c r="AC85" i="11"/>
  <c r="Q85" i="11"/>
  <c r="G85" i="11"/>
  <c r="Z85" i="11"/>
  <c r="P85" i="11"/>
  <c r="AH85" i="11"/>
  <c r="X85" i="11"/>
  <c r="N85" i="11"/>
  <c r="AG85" i="11"/>
  <c r="AG97" i="11" s="1"/>
  <c r="W85" i="11"/>
  <c r="M85" i="11"/>
  <c r="AE85" i="11"/>
  <c r="U85" i="11"/>
  <c r="I85" i="11"/>
  <c r="AD85" i="11"/>
  <c r="Y85" i="11"/>
  <c r="V85" i="11"/>
  <c r="R85" i="11"/>
  <c r="J85" i="11"/>
  <c r="O85" i="11"/>
  <c r="H85" i="11"/>
  <c r="AF85" i="11"/>
  <c r="AI25" i="11"/>
  <c r="AI163" i="11" s="1"/>
  <c r="AI170" i="11" s="1"/>
  <c r="AH26" i="11"/>
  <c r="AH27" i="11"/>
  <c r="AA32" i="3"/>
  <c r="AA33" i="3" s="1"/>
  <c r="AA34" i="3" s="1"/>
  <c r="AA32" i="2"/>
  <c r="AA33" i="2" s="1"/>
  <c r="AA34" i="2" s="1"/>
  <c r="C48" i="10"/>
  <c r="I48" i="10" s="1"/>
  <c r="F47" i="10"/>
  <c r="G47" i="10"/>
  <c r="AG130" i="11" l="1"/>
  <c r="AG14" i="11" s="1"/>
  <c r="AF136" i="11"/>
  <c r="AH175" i="11"/>
  <c r="AH181" i="11" s="1"/>
  <c r="AI173" i="11"/>
  <c r="AI174" i="11"/>
  <c r="AG171" i="11"/>
  <c r="AG15" i="11" s="1"/>
  <c r="AH166" i="11"/>
  <c r="AH167" i="11"/>
  <c r="AI169" i="11"/>
  <c r="AI165" i="11"/>
  <c r="AI168" i="11"/>
  <c r="H109" i="11"/>
  <c r="H113" i="11" s="1"/>
  <c r="H97" i="11"/>
  <c r="H112" i="11" s="1"/>
  <c r="Y109" i="11"/>
  <c r="Y113" i="11" s="1"/>
  <c r="Y97" i="11"/>
  <c r="Y112" i="11" s="1"/>
  <c r="AF109" i="11"/>
  <c r="AF113" i="11" s="1"/>
  <c r="AF97" i="11"/>
  <c r="AF112" i="11" s="1"/>
  <c r="R109" i="11"/>
  <c r="R113" i="11" s="1"/>
  <c r="R97" i="11"/>
  <c r="R112" i="11" s="1"/>
  <c r="I97" i="11"/>
  <c r="I112" i="11" s="1"/>
  <c r="I109" i="11"/>
  <c r="I113" i="11" s="1"/>
  <c r="W109" i="11"/>
  <c r="W113" i="11" s="1"/>
  <c r="W97" i="11"/>
  <c r="W112" i="11" s="1"/>
  <c r="Q97" i="11"/>
  <c r="Q112" i="11" s="1"/>
  <c r="Q109" i="11"/>
  <c r="Q113" i="11" s="1"/>
  <c r="AA97" i="11"/>
  <c r="AA112" i="11" s="1"/>
  <c r="AA109" i="11"/>
  <c r="AA113" i="11" s="1"/>
  <c r="AB109" i="11"/>
  <c r="AB113" i="11" s="1"/>
  <c r="AB97" i="11"/>
  <c r="AB112" i="11" s="1"/>
  <c r="U109" i="11"/>
  <c r="U113" i="11" s="1"/>
  <c r="U97" i="11"/>
  <c r="U112" i="11" s="1"/>
  <c r="P97" i="11"/>
  <c r="P112" i="11" s="1"/>
  <c r="P109" i="11"/>
  <c r="P113" i="11" s="1"/>
  <c r="AC109" i="11"/>
  <c r="AC113" i="11" s="1"/>
  <c r="AC97" i="11"/>
  <c r="AC112" i="11" s="1"/>
  <c r="O97" i="11"/>
  <c r="O112" i="11" s="1"/>
  <c r="F13" i="16" s="1"/>
  <c r="O109" i="11"/>
  <c r="O113" i="11" s="1"/>
  <c r="N109" i="11"/>
  <c r="N113" i="11" s="1"/>
  <c r="N97" i="11"/>
  <c r="N112" i="11" s="1"/>
  <c r="L109" i="11"/>
  <c r="L113" i="11" s="1"/>
  <c r="L97" i="11"/>
  <c r="L112" i="11" s="1"/>
  <c r="AG109" i="11"/>
  <c r="AG113" i="11" s="1"/>
  <c r="V109" i="11"/>
  <c r="V113" i="11" s="1"/>
  <c r="V97" i="11"/>
  <c r="V112" i="11" s="1"/>
  <c r="AE97" i="11"/>
  <c r="AE112" i="11" s="1"/>
  <c r="AE109" i="11"/>
  <c r="AE113" i="11" s="1"/>
  <c r="Z97" i="11"/>
  <c r="Z112" i="11" s="1"/>
  <c r="Z109" i="11"/>
  <c r="Z113" i="11" s="1"/>
  <c r="K97" i="11"/>
  <c r="K112" i="11" s="1"/>
  <c r="K109" i="11"/>
  <c r="K113" i="11" s="1"/>
  <c r="J109" i="11"/>
  <c r="J113" i="11" s="1"/>
  <c r="J97" i="11"/>
  <c r="J112" i="11" s="1"/>
  <c r="AD109" i="11"/>
  <c r="AD113" i="11" s="1"/>
  <c r="AD97" i="11"/>
  <c r="AD112" i="11" s="1"/>
  <c r="M97" i="11"/>
  <c r="M112" i="11" s="1"/>
  <c r="M109" i="11"/>
  <c r="M113" i="11" s="1"/>
  <c r="X109" i="11"/>
  <c r="X113" i="11" s="1"/>
  <c r="X97" i="11"/>
  <c r="X112" i="11" s="1"/>
  <c r="G97" i="11"/>
  <c r="G112" i="11" s="1"/>
  <c r="G109" i="11"/>
  <c r="G113" i="11" s="1"/>
  <c r="S97" i="11"/>
  <c r="S112" i="11" s="1"/>
  <c r="S109" i="11"/>
  <c r="S113" i="11" s="1"/>
  <c r="T97" i="11"/>
  <c r="T112" i="11" s="1"/>
  <c r="T109" i="11"/>
  <c r="T113" i="11" s="1"/>
  <c r="AE191" i="11"/>
  <c r="AF185" i="11"/>
  <c r="AH109" i="11"/>
  <c r="AH113" i="11" s="1"/>
  <c r="AH51" i="11"/>
  <c r="AH55" i="11" s="1"/>
  <c r="AG183" i="11"/>
  <c r="AG187" i="11" s="1"/>
  <c r="AG184" i="11"/>
  <c r="AG188" i="11" s="1"/>
  <c r="AH178" i="11"/>
  <c r="AH177" i="11"/>
  <c r="AH52" i="11"/>
  <c r="AH11" i="11" s="1"/>
  <c r="AH97" i="11"/>
  <c r="AH112" i="11" s="1"/>
  <c r="AH50" i="11"/>
  <c r="AH54" i="11" s="1"/>
  <c r="AH77" i="11"/>
  <c r="AG136" i="11"/>
  <c r="AG112" i="11"/>
  <c r="AJ7" i="11"/>
  <c r="D7" i="11" s="1"/>
  <c r="D8" i="13" s="1"/>
  <c r="AG179" i="11"/>
  <c r="AG180" i="11"/>
  <c r="AF190" i="11"/>
  <c r="AF189" i="11"/>
  <c r="AG128" i="11"/>
  <c r="AF132" i="11"/>
  <c r="AG129" i="11"/>
  <c r="AF133" i="11"/>
  <c r="AE134" i="11"/>
  <c r="AE135" i="11"/>
  <c r="AH76" i="11"/>
  <c r="AH75" i="11"/>
  <c r="AI71" i="11"/>
  <c r="AI12" i="11" s="1"/>
  <c r="AI70" i="11"/>
  <c r="AI74" i="11" s="1"/>
  <c r="AI69" i="11"/>
  <c r="AI73" i="11" s="1"/>
  <c r="AJ73" i="11" s="1"/>
  <c r="AG58" i="11"/>
  <c r="AG57" i="11"/>
  <c r="AG56" i="11"/>
  <c r="AI26" i="11"/>
  <c r="AI27" i="11"/>
  <c r="AB32" i="3"/>
  <c r="AB33" i="3" s="1"/>
  <c r="AB34" i="3" s="1"/>
  <c r="AB32" i="2"/>
  <c r="AB33" i="2" s="1"/>
  <c r="AB34" i="2" s="1"/>
  <c r="C49" i="10"/>
  <c r="I49" i="10" s="1"/>
  <c r="G48" i="10"/>
  <c r="F48" i="10"/>
  <c r="AH130" i="11" l="1"/>
  <c r="AH14" i="11" s="1"/>
  <c r="AI175" i="11"/>
  <c r="AI181" i="11" s="1"/>
  <c r="AJ181" i="11" s="1"/>
  <c r="E23" i="16" s="1"/>
  <c r="AH171" i="11"/>
  <c r="AH15" i="11" s="1"/>
  <c r="AI167" i="11"/>
  <c r="AI166" i="11"/>
  <c r="AF191" i="11"/>
  <c r="AI109" i="11"/>
  <c r="AI113" i="11" s="1"/>
  <c r="AI51" i="11"/>
  <c r="AI55" i="11" s="1"/>
  <c r="AI52" i="11"/>
  <c r="AI11" i="11" s="1"/>
  <c r="AJ11" i="11" s="1"/>
  <c r="D11" i="11" s="1"/>
  <c r="D12" i="13" s="1"/>
  <c r="AI97" i="11"/>
  <c r="AI112" i="11" s="1"/>
  <c r="AJ112" i="11" s="1"/>
  <c r="E13" i="16" s="1"/>
  <c r="AI50" i="11"/>
  <c r="AI54" i="11" s="1"/>
  <c r="AJ54" i="11" s="1"/>
  <c r="E9" i="16" s="1"/>
  <c r="AG185" i="11"/>
  <c r="AH184" i="11"/>
  <c r="AH188" i="11" s="1"/>
  <c r="AH183" i="11"/>
  <c r="AH187" i="11" s="1"/>
  <c r="AI178" i="11"/>
  <c r="AI177" i="11"/>
  <c r="AJ177" i="11" s="1"/>
  <c r="AI77" i="11"/>
  <c r="AJ77" i="11" s="1"/>
  <c r="AJ12" i="11"/>
  <c r="AG190" i="11"/>
  <c r="AG189" i="11"/>
  <c r="AH179" i="11"/>
  <c r="AH180" i="11"/>
  <c r="AF134" i="11"/>
  <c r="AF135" i="11"/>
  <c r="AH129" i="11"/>
  <c r="AG133" i="11"/>
  <c r="AH128" i="11"/>
  <c r="AG132" i="11"/>
  <c r="T115" i="11"/>
  <c r="T114" i="11"/>
  <c r="AE114" i="11"/>
  <c r="AE115" i="11"/>
  <c r="AF114" i="11"/>
  <c r="AF115" i="11"/>
  <c r="AG114" i="11"/>
  <c r="AG115" i="11"/>
  <c r="N115" i="11"/>
  <c r="N114" i="11"/>
  <c r="AD115" i="11"/>
  <c r="AD114" i="11"/>
  <c r="R114" i="11"/>
  <c r="R115" i="11"/>
  <c r="Z114" i="11"/>
  <c r="Z115" i="11"/>
  <c r="K114" i="11"/>
  <c r="K115" i="11"/>
  <c r="W114" i="11"/>
  <c r="W115" i="11"/>
  <c r="X114" i="11"/>
  <c r="X115" i="11"/>
  <c r="AB115" i="11"/>
  <c r="AB114" i="11"/>
  <c r="G114" i="11"/>
  <c r="G115" i="11"/>
  <c r="O114" i="11"/>
  <c r="F11" i="16" s="1"/>
  <c r="O115" i="11"/>
  <c r="F12" i="16" s="1"/>
  <c r="M115" i="11"/>
  <c r="M114" i="11"/>
  <c r="U115" i="11"/>
  <c r="U114" i="11"/>
  <c r="V115" i="11"/>
  <c r="V114" i="11"/>
  <c r="AH114" i="11"/>
  <c r="AH115" i="11"/>
  <c r="I114" i="11"/>
  <c r="I115" i="11"/>
  <c r="Q115" i="11"/>
  <c r="Q114" i="11"/>
  <c r="Y115" i="11"/>
  <c r="Y114" i="11"/>
  <c r="S114" i="11"/>
  <c r="S115" i="11"/>
  <c r="P114" i="11"/>
  <c r="P115" i="11"/>
  <c r="AC115" i="11"/>
  <c r="AC114" i="11"/>
  <c r="H114" i="11"/>
  <c r="H115" i="11"/>
  <c r="J114" i="11"/>
  <c r="J115" i="11"/>
  <c r="L115" i="11"/>
  <c r="L114" i="11"/>
  <c r="AA114" i="11"/>
  <c r="AA115" i="11"/>
  <c r="AI76" i="11"/>
  <c r="AJ76" i="11" s="1"/>
  <c r="AI75" i="11"/>
  <c r="AJ75" i="11" s="1"/>
  <c r="AJ74" i="11"/>
  <c r="AH58" i="11"/>
  <c r="AH57" i="11"/>
  <c r="AH56" i="11"/>
  <c r="U110" i="11"/>
  <c r="G110" i="11"/>
  <c r="X110" i="11"/>
  <c r="AE110" i="11"/>
  <c r="AG110" i="11"/>
  <c r="AG13" i="11" s="1"/>
  <c r="P110" i="11"/>
  <c r="V110" i="11"/>
  <c r="T110" i="11"/>
  <c r="K110" i="11"/>
  <c r="AD110" i="11"/>
  <c r="Y110" i="11"/>
  <c r="O110" i="11"/>
  <c r="W110" i="11"/>
  <c r="N110" i="11"/>
  <c r="AF110" i="11"/>
  <c r="I110" i="11"/>
  <c r="H110" i="11"/>
  <c r="Z110" i="11"/>
  <c r="AC110" i="11"/>
  <c r="AB110" i="11"/>
  <c r="Q110" i="11"/>
  <c r="M110" i="11"/>
  <c r="AA110" i="11"/>
  <c r="S110" i="11"/>
  <c r="R110" i="11"/>
  <c r="J110" i="11"/>
  <c r="L110" i="11"/>
  <c r="AH110" i="11"/>
  <c r="AH13" i="11" s="1"/>
  <c r="AC32" i="3"/>
  <c r="AC33" i="3" s="1"/>
  <c r="AC34" i="3" s="1"/>
  <c r="AC32" i="2"/>
  <c r="AC33" i="2" s="1"/>
  <c r="AC34" i="2" s="1"/>
  <c r="C50" i="10"/>
  <c r="I50" i="10" s="1"/>
  <c r="F49" i="10"/>
  <c r="G49" i="10"/>
  <c r="AI130" i="11" l="1"/>
  <c r="AI14" i="11" s="1"/>
  <c r="AH136" i="11"/>
  <c r="AI171" i="11"/>
  <c r="AI15" i="11" s="1"/>
  <c r="S13" i="11"/>
  <c r="S17" i="11" s="1"/>
  <c r="O13" i="11"/>
  <c r="O17" i="11" s="1"/>
  <c r="F29" i="16" s="1"/>
  <c r="AE13" i="11"/>
  <c r="AE17" i="11" s="1"/>
  <c r="AA13" i="11"/>
  <c r="AA17" i="11" s="1"/>
  <c r="AF13" i="11"/>
  <c r="AF17" i="11" s="1"/>
  <c r="J13" i="11"/>
  <c r="J17" i="11" s="1"/>
  <c r="M13" i="11"/>
  <c r="M17" i="11" s="1"/>
  <c r="Z13" i="11"/>
  <c r="Z17" i="11" s="1"/>
  <c r="N13" i="11"/>
  <c r="N17" i="11" s="1"/>
  <c r="AD13" i="11"/>
  <c r="AD17" i="11" s="1"/>
  <c r="P13" i="11"/>
  <c r="P17" i="11" s="1"/>
  <c r="G13" i="11"/>
  <c r="G17" i="11" s="1"/>
  <c r="AB13" i="11"/>
  <c r="AB17" i="11" s="1"/>
  <c r="I13" i="11"/>
  <c r="I17" i="11" s="1"/>
  <c r="T13" i="11"/>
  <c r="T17" i="11" s="1"/>
  <c r="L13" i="11"/>
  <c r="L17" i="11" s="1"/>
  <c r="AC13" i="11"/>
  <c r="AC17" i="11" s="1"/>
  <c r="Y13" i="11"/>
  <c r="Y17" i="11" s="1"/>
  <c r="V13" i="11"/>
  <c r="V17" i="11" s="1"/>
  <c r="X13" i="11"/>
  <c r="X17" i="11" s="1"/>
  <c r="R13" i="11"/>
  <c r="R17" i="11" s="1"/>
  <c r="Q13" i="11"/>
  <c r="Q17" i="11" s="1"/>
  <c r="H13" i="11"/>
  <c r="H17" i="11" s="1"/>
  <c r="W13" i="11"/>
  <c r="W17" i="11" s="1"/>
  <c r="K13" i="11"/>
  <c r="K17" i="11" s="1"/>
  <c r="U13" i="11"/>
  <c r="U17" i="11" s="1"/>
  <c r="AG17" i="11"/>
  <c r="AG191" i="11"/>
  <c r="AI184" i="11"/>
  <c r="AI188" i="11" s="1"/>
  <c r="AI183" i="11"/>
  <c r="AI187" i="11" s="1"/>
  <c r="AJ187" i="11" s="1"/>
  <c r="AH185" i="11"/>
  <c r="D12" i="11"/>
  <c r="D13" i="13" s="1"/>
  <c r="AH190" i="11"/>
  <c r="AH189" i="11"/>
  <c r="AI180" i="11"/>
  <c r="AJ180" i="11" s="1"/>
  <c r="AI179" i="11"/>
  <c r="AJ179" i="11" s="1"/>
  <c r="AJ178" i="11"/>
  <c r="AJ14" i="11"/>
  <c r="AI136" i="11"/>
  <c r="AJ136" i="11" s="1"/>
  <c r="E18" i="16" s="1"/>
  <c r="AI129" i="11"/>
  <c r="AI133" i="11" s="1"/>
  <c r="AH133" i="11"/>
  <c r="AI128" i="11"/>
  <c r="AI132" i="11" s="1"/>
  <c r="AH132" i="11"/>
  <c r="AG134" i="11"/>
  <c r="AG135" i="11"/>
  <c r="AB116" i="11"/>
  <c r="AI114" i="11"/>
  <c r="AJ114" i="11" s="1"/>
  <c r="E11" i="16" s="1"/>
  <c r="AI115" i="11"/>
  <c r="AJ115" i="11" s="1"/>
  <c r="E12" i="16" s="1"/>
  <c r="N116" i="11"/>
  <c r="AE116" i="11"/>
  <c r="Z116" i="11"/>
  <c r="AC116" i="11"/>
  <c r="AG116" i="11"/>
  <c r="S116" i="11"/>
  <c r="AJ113" i="11"/>
  <c r="AH116" i="11"/>
  <c r="L116" i="11"/>
  <c r="J116" i="11"/>
  <c r="X116" i="11"/>
  <c r="U116" i="11"/>
  <c r="P116" i="11"/>
  <c r="W116" i="11"/>
  <c r="O116" i="11"/>
  <c r="F14" i="16" s="1"/>
  <c r="Y116" i="11"/>
  <c r="H116" i="11"/>
  <c r="G116" i="11"/>
  <c r="M116" i="11"/>
  <c r="T116" i="11"/>
  <c r="R116" i="11"/>
  <c r="AD116" i="11"/>
  <c r="AA116" i="11"/>
  <c r="K116" i="11"/>
  <c r="I116" i="11"/>
  <c r="Q116" i="11"/>
  <c r="AF116" i="11"/>
  <c r="V116" i="11"/>
  <c r="AI56" i="11"/>
  <c r="AJ56" i="11" s="1"/>
  <c r="E7" i="16" s="1"/>
  <c r="AI57" i="11"/>
  <c r="AJ57" i="11" s="1"/>
  <c r="E8" i="16" s="1"/>
  <c r="AJ55" i="11"/>
  <c r="AI58" i="11"/>
  <c r="AJ58" i="11" s="1"/>
  <c r="E10" i="16" s="1"/>
  <c r="AI110" i="11"/>
  <c r="AI13" i="11" s="1"/>
  <c r="AD32" i="3"/>
  <c r="AD33" i="3" s="1"/>
  <c r="AD34" i="3" s="1"/>
  <c r="AD32" i="2"/>
  <c r="AD33" i="2" s="1"/>
  <c r="AD34" i="2" s="1"/>
  <c r="C51" i="10"/>
  <c r="I51" i="10" s="1"/>
  <c r="F50" i="10"/>
  <c r="G50" i="10"/>
  <c r="AH17" i="11" l="1"/>
  <c r="AH191" i="11"/>
  <c r="AI185" i="11"/>
  <c r="AI191" i="11" s="1"/>
  <c r="D14" i="11"/>
  <c r="D15" i="13" s="1"/>
  <c r="AI190" i="11"/>
  <c r="AJ190" i="11" s="1"/>
  <c r="AI189" i="11"/>
  <c r="AJ189" i="11" s="1"/>
  <c r="AJ188" i="11"/>
  <c r="AJ132" i="11"/>
  <c r="E17" i="16" s="1"/>
  <c r="AH134" i="11"/>
  <c r="AH135" i="11"/>
  <c r="AI135" i="11"/>
  <c r="AI134" i="11"/>
  <c r="AJ133" i="11"/>
  <c r="AJ13" i="11"/>
  <c r="AI116" i="11"/>
  <c r="AJ116" i="11" s="1"/>
  <c r="E14" i="16" s="1"/>
  <c r="AE32" i="3"/>
  <c r="AE33" i="3" s="1"/>
  <c r="AE34" i="3" s="1"/>
  <c r="AE32" i="2"/>
  <c r="AE33" i="2" s="1"/>
  <c r="AE34" i="2" s="1"/>
  <c r="G51" i="10"/>
  <c r="F51" i="10"/>
  <c r="AJ15" i="11" l="1"/>
  <c r="D15" i="11" s="1"/>
  <c r="D16" i="13" s="1"/>
  <c r="AJ191" i="11"/>
  <c r="D13" i="11"/>
  <c r="D14" i="13" s="1"/>
  <c r="AJ135" i="11"/>
  <c r="E16" i="16" s="1"/>
  <c r="AJ134" i="11"/>
  <c r="E15" i="16" s="1"/>
  <c r="AI17" i="11" l="1"/>
  <c r="AJ16" i="11"/>
  <c r="AJ17" i="11" l="1"/>
  <c r="D17" i="11" s="1"/>
  <c r="D18" i="13" s="1"/>
  <c r="D16" i="11"/>
  <c r="D17" i="13" s="1"/>
  <c r="E29" i="16" l="1"/>
  <c r="AJ21" i="11"/>
  <c r="AJ19" i="11"/>
  <c r="D21" i="11"/>
  <c r="D22" i="13" s="1"/>
  <c r="D19" i="11"/>
  <c r="D20" i="13" s="1"/>
</calcChain>
</file>

<file path=xl/comments1.xml><?xml version="1.0" encoding="utf-8"?>
<comments xmlns="http://schemas.openxmlformats.org/spreadsheetml/2006/main">
  <authors>
    <author>ABS</author>
  </authors>
  <commentList>
    <comment ref="A4" authorId="0" shapeId="0">
      <text>
        <r>
          <rPr>
            <sz val="8"/>
            <color indexed="8"/>
            <rFont val="Arial"/>
            <family val="2"/>
          </rPr>
          <t>Refer to Glossary for definition of vehicle types</t>
        </r>
      </text>
    </comment>
  </commentList>
</comments>
</file>

<file path=xl/comments2.xml><?xml version="1.0" encoding="utf-8"?>
<comments xmlns="http://schemas.openxmlformats.org/spreadsheetml/2006/main">
  <authors>
    <author>ABS</author>
  </authors>
  <commentList>
    <comment ref="B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C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D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E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F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G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H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I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J1" authorId="0" shapeId="0">
      <text>
        <r>
          <rPr>
            <sz val="9"/>
            <color indexed="81"/>
            <rFont val="Tahoma"/>
            <family val="2"/>
          </rPr>
          <t>Unless otherwise specified, reference period of each index: 2011–12 = 100.0.</t>
        </r>
      </text>
    </comment>
    <comment ref="A6" authorId="0" shapeId="0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<sst xmlns="http://schemas.openxmlformats.org/spreadsheetml/2006/main" count="738" uniqueCount="475">
  <si>
    <t>VOC = BaseVOC*(k1 + k2/V + k3*V^2 + k4*IRI + k5*IRI^2 + k6*GVM)</t>
  </si>
  <si>
    <t>k1</t>
  </si>
  <si>
    <t>k2</t>
  </si>
  <si>
    <t>k3</t>
  </si>
  <si>
    <t>k4</t>
  </si>
  <si>
    <t>k5</t>
  </si>
  <si>
    <t>k6</t>
  </si>
  <si>
    <t>Base VOC</t>
  </si>
  <si>
    <t>IRI</t>
  </si>
  <si>
    <t>km/h</t>
  </si>
  <si>
    <t>GVM</t>
  </si>
  <si>
    <t>Roughness</t>
  </si>
  <si>
    <t>speed</t>
  </si>
  <si>
    <t>cents</t>
  </si>
  <si>
    <t>double b double</t>
  </si>
  <si>
    <t>A double</t>
  </si>
  <si>
    <t>at IRI 3 and 100km/h</t>
  </si>
  <si>
    <t>saving</t>
  </si>
  <si>
    <t>Vehicle operating cost savings for light vehicles</t>
  </si>
  <si>
    <t>Assume medium car 1.4 tonnes GCM</t>
  </si>
  <si>
    <t>Parameters</t>
  </si>
  <si>
    <t>Base Case</t>
  </si>
  <si>
    <t>Speed Km/h</t>
  </si>
  <si>
    <t>Roughness (IRI)</t>
  </si>
  <si>
    <t>Base Case VOC</t>
  </si>
  <si>
    <t>Project Case</t>
  </si>
  <si>
    <t>Project Case VOC</t>
  </si>
  <si>
    <t>Assume Artic 6-axle 42.5 tonnes GCM</t>
  </si>
  <si>
    <t>Light vehicle</t>
  </si>
  <si>
    <t>Occupancy</t>
  </si>
  <si>
    <t>value per hr/$</t>
  </si>
  <si>
    <t>Heavy (Artic 6-axle)</t>
  </si>
  <si>
    <t>occupant value per hr</t>
  </si>
  <si>
    <t>payload value per hr</t>
  </si>
  <si>
    <t>combined</t>
  </si>
  <si>
    <r>
      <rPr>
        <b/>
        <sz val="9"/>
        <rFont val="Arial"/>
        <family val="2"/>
      </rPr>
      <t>PV2 Road Parameter Values</t>
    </r>
  </si>
  <si>
    <r>
      <rPr>
        <sz val="10"/>
        <rFont val="Arial"/>
        <family val="2"/>
      </rPr>
      <t>Table 19 Estimation of crash costs by injury severity, WTP values, June $2013</t>
    </r>
  </si>
  <si>
    <r>
      <rPr>
        <sz val="9"/>
        <rFont val="Arial"/>
        <family val="2"/>
      </rPr>
      <t>State</t>
    </r>
  </si>
  <si>
    <r>
      <rPr>
        <b/>
        <sz val="9"/>
        <rFont val="Arial"/>
        <family val="2"/>
      </rPr>
      <t>Rural</t>
    </r>
  </si>
  <si>
    <r>
      <rPr>
        <b/>
        <sz val="9"/>
        <rFont val="Arial"/>
        <family val="2"/>
      </rPr>
      <t>Urban</t>
    </r>
  </si>
  <si>
    <r>
      <rPr>
        <sz val="9"/>
        <rFont val="Arial"/>
        <family val="2"/>
      </rPr>
      <t xml:space="preserve">Fatal crash  Serious injury  Other injury crash
</t>
    </r>
    <r>
      <rPr>
        <sz val="9"/>
        <rFont val="Arial"/>
        <family val="2"/>
      </rPr>
      <t>($)  crash ($)  ($)</t>
    </r>
  </si>
  <si>
    <r>
      <rPr>
        <sz val="9"/>
        <rFont val="Arial"/>
        <family val="2"/>
      </rPr>
      <t>New South Wales</t>
    </r>
  </si>
  <si>
    <r>
      <rPr>
        <sz val="9"/>
        <rFont val="Arial"/>
        <family val="2"/>
      </rPr>
      <t>Victoria</t>
    </r>
  </si>
  <si>
    <r>
      <rPr>
        <sz val="9"/>
        <rFont val="Arial"/>
        <family val="2"/>
      </rPr>
      <t>Queensland</t>
    </r>
  </si>
  <si>
    <r>
      <rPr>
        <sz val="9"/>
        <rFont val="Arial"/>
        <family val="2"/>
      </rPr>
      <t>South Australia</t>
    </r>
  </si>
  <si>
    <r>
      <rPr>
        <sz val="9"/>
        <rFont val="Arial"/>
        <family val="2"/>
      </rPr>
      <t>Western Australia</t>
    </r>
  </si>
  <si>
    <r>
      <rPr>
        <sz val="9"/>
        <rFont val="Arial"/>
        <family val="2"/>
      </rPr>
      <t>Tasmania</t>
    </r>
  </si>
  <si>
    <r>
      <rPr>
        <sz val="9"/>
        <rFont val="Arial"/>
        <family val="2"/>
      </rPr>
      <t>Northern Territory</t>
    </r>
  </si>
  <si>
    <r>
      <rPr>
        <sz val="9"/>
        <rFont val="Arial"/>
        <family val="2"/>
      </rPr>
      <t>Australian Capital Territory</t>
    </r>
  </si>
  <si>
    <r>
      <rPr>
        <i/>
        <sz val="10"/>
        <rFont val="Arial"/>
        <family val="2"/>
      </rPr>
      <t>Source: ARRB Group Ltd.</t>
    </r>
  </si>
  <si>
    <r>
      <rPr>
        <sz val="9"/>
        <rFont val="Arial"/>
        <family val="2"/>
      </rPr>
      <t xml:space="preserve">Transport and Infrastructure Council | Australian Transport Assessment and Planning Guidelines  </t>
    </r>
    <r>
      <rPr>
        <b/>
        <sz val="9"/>
        <rFont val="Arial"/>
        <family val="2"/>
      </rPr>
      <t>29</t>
    </r>
  </si>
  <si>
    <t>Crash parameters are average from Table 19 (WTP approach)</t>
  </si>
  <si>
    <t>15 year crash data</t>
  </si>
  <si>
    <t>Fatality</t>
  </si>
  <si>
    <t>Serious injury</t>
  </si>
  <si>
    <t>Injured</t>
  </si>
  <si>
    <t>Cost over 15 years</t>
  </si>
  <si>
    <t>no of incidents</t>
  </si>
  <si>
    <t>value of incident</t>
  </si>
  <si>
    <t>total cost</t>
  </si>
  <si>
    <t>Default externality values table C1 of NGTSM</t>
  </si>
  <si>
    <t>Passenger vehicles</t>
  </si>
  <si>
    <t>cents per vehicle km (total, 2005 values)</t>
  </si>
  <si>
    <t>cpi adjustment</t>
  </si>
  <si>
    <t>cents per vehicle km (2019 values)</t>
  </si>
  <si>
    <t>Heavy vehicles</t>
  </si>
  <si>
    <t>Project length (km)</t>
  </si>
  <si>
    <t>Speed (base case - km/h)</t>
  </si>
  <si>
    <t>Speed (project case - km/h)</t>
  </si>
  <si>
    <t>Time saving per vehicle</t>
  </si>
  <si>
    <t>value of TTS per LV ($)</t>
  </si>
  <si>
    <t>value of TTS per HV ($)</t>
  </si>
  <si>
    <t>Savings per km per vehicle (cents)</t>
  </si>
  <si>
    <t>Estimated reduction (%)</t>
  </si>
  <si>
    <t>Average cost per year (30 years)</t>
  </si>
  <si>
    <t>Capital Costs</t>
  </si>
  <si>
    <t>Economic Benefits</t>
  </si>
  <si>
    <t>Vehicle Operating Cost Savings</t>
  </si>
  <si>
    <t>Crash Cost Savings</t>
  </si>
  <si>
    <t>Discount Rate</t>
  </si>
  <si>
    <t>Fatalities</t>
  </si>
  <si>
    <t>Roundabouts</t>
  </si>
  <si>
    <t>Unsignalised</t>
  </si>
  <si>
    <t>Number</t>
  </si>
  <si>
    <t>V= speed (velocity)</t>
  </si>
  <si>
    <t>Year 1</t>
  </si>
  <si>
    <t xml:space="preserve">Year </t>
  </si>
  <si>
    <t>Year</t>
  </si>
  <si>
    <t>Rate of change</t>
  </si>
  <si>
    <t>Change</t>
  </si>
  <si>
    <t>Difference</t>
  </si>
  <si>
    <t xml:space="preserve">Straight line </t>
  </si>
  <si>
    <t xml:space="preserve">Continuous </t>
  </si>
  <si>
    <t>2 to 6</t>
  </si>
  <si>
    <t>6 to 2</t>
  </si>
  <si>
    <t>Rate of change per year</t>
  </si>
  <si>
    <t>Assumed project length (km)</t>
  </si>
  <si>
    <t>Assumed LV - year 1</t>
  </si>
  <si>
    <t>Assumed LV - rate of traffic growth</t>
  </si>
  <si>
    <t>Project assumptions</t>
  </si>
  <si>
    <t>Savings per project ($) - based on project assumptions</t>
  </si>
  <si>
    <t>Discount rate</t>
  </si>
  <si>
    <t>Change per year in Roughness (IRI)</t>
  </si>
  <si>
    <t>A=1</t>
  </si>
  <si>
    <t>Formula</t>
  </si>
  <si>
    <t>Delay Reduction Savings</t>
  </si>
  <si>
    <t>Delay (secs)</t>
  </si>
  <si>
    <t>Total</t>
  </si>
  <si>
    <t>Total Economic Benefits</t>
  </si>
  <si>
    <t>Travel Time Savings</t>
  </si>
  <si>
    <t>Traffic Data</t>
  </si>
  <si>
    <t>Project Length (km)</t>
  </si>
  <si>
    <t>Travel Time Savings (TTS)</t>
  </si>
  <si>
    <t>Economic Costs</t>
  </si>
  <si>
    <t>Cost Benefit Analysis</t>
  </si>
  <si>
    <t>Light Vehicles (LV, %)</t>
  </si>
  <si>
    <t>Heavy Vehicles (HV, %)</t>
  </si>
  <si>
    <t>Traffic Signals</t>
  </si>
  <si>
    <t>Continuous Rate of Change = Ae^(rt)</t>
  </si>
  <si>
    <t>Change in Roughness (IRI) over Project Duration - Continuous</t>
  </si>
  <si>
    <t>15 Year Crash Data (or Estimates)</t>
  </si>
  <si>
    <t>Estimated Reduction (%)</t>
  </si>
  <si>
    <t>Vehicle Operating Cost Savings - Light Vehicles (LV)</t>
  </si>
  <si>
    <t>Vehicle Operating Cost Savings - Heavy Vehicles (HV)</t>
  </si>
  <si>
    <t>Annual Rate of Change</t>
  </si>
  <si>
    <t>Cost Over 15 years</t>
  </si>
  <si>
    <t>Base Case - Estimated Delay</t>
  </si>
  <si>
    <t>Value</t>
  </si>
  <si>
    <t>Total Value</t>
  </si>
  <si>
    <t>Project Case - Estimated Reduction (%)</t>
  </si>
  <si>
    <t>Base Case - Average Speed (km/hr)</t>
  </si>
  <si>
    <t>Base Case - Additional Distance Travelled on Alternative Route (km)</t>
  </si>
  <si>
    <t>Base Case - Combined Additional Distance Travelled due to Road Closures (Vehicle Kilometers Travelled, VKT)</t>
  </si>
  <si>
    <t>Base Case - Duration of Road Closures (days/year)</t>
  </si>
  <si>
    <t>Externality savings for road closures</t>
  </si>
  <si>
    <t>Crash Cost Data</t>
  </si>
  <si>
    <t>Total Economic Costs</t>
  </si>
  <si>
    <t>Maintenance Costs</t>
  </si>
  <si>
    <t>Annual Traffic Growth (%)</t>
  </si>
  <si>
    <t xml:space="preserve"> </t>
  </si>
  <si>
    <t>Category</t>
  </si>
  <si>
    <t>Proportion of Vehicles Diverting (%)</t>
  </si>
  <si>
    <t>Vehicle Operating Cost Savings (free flow)</t>
  </si>
  <si>
    <t>Project Cost Data</t>
  </si>
  <si>
    <t>Residual/Salvage Value Data</t>
  </si>
  <si>
    <t>Intersection Data</t>
  </si>
  <si>
    <t>Capital Costs ($)</t>
  </si>
  <si>
    <t>Residual/Salvage Value ($)</t>
  </si>
  <si>
    <t>Residual/Salvage Value</t>
  </si>
  <si>
    <t>Nominal Travel Time Savings - Total ($)</t>
  </si>
  <si>
    <t>Nominal Delay Reduction Savings - Total ($)</t>
  </si>
  <si>
    <t>Nominal Vehicle Operating Cost Savings (HV, $)</t>
  </si>
  <si>
    <t>Nominal Vehicle Operating Cost Savings (LV, $)</t>
  </si>
  <si>
    <t>Nominal Vehicle Operating Cost Savings - Total ($)</t>
  </si>
  <si>
    <t>Nominal Crash Cost Savings - Total ($)</t>
  </si>
  <si>
    <t xml:space="preserve">Capital Costs </t>
  </si>
  <si>
    <t xml:space="preserve">Maintenance Costs </t>
  </si>
  <si>
    <t>Light Vehicle</t>
  </si>
  <si>
    <t>Combined</t>
  </si>
  <si>
    <t>Occupants</t>
  </si>
  <si>
    <t>Value of Travel Time Data</t>
  </si>
  <si>
    <t>VOC = Base VOC*(k1 + k2/V + k3*V^2 + k4*IRI + k5*IRI^2 + k6*GVM)</t>
  </si>
  <si>
    <t>Externalities</t>
  </si>
  <si>
    <t>Air pollution</t>
  </si>
  <si>
    <t>Greenhouse/climate change</t>
  </si>
  <si>
    <t>Noise</t>
  </si>
  <si>
    <t>Water</t>
  </si>
  <si>
    <t>Nature and landscape</t>
  </si>
  <si>
    <t>Urban separation</t>
  </si>
  <si>
    <t>Heavy Vehicles</t>
  </si>
  <si>
    <t>Light Vehicles</t>
  </si>
  <si>
    <t>References</t>
  </si>
  <si>
    <t>Nominal Travel Time Savings (HV - $48.17 per hr) - HV ($)</t>
  </si>
  <si>
    <t>Nominal Travel Time Savings (LV - $25.50 per hr) - LV ($)</t>
  </si>
  <si>
    <t>Discounted Travel Time Savings - HV - Freight ($)</t>
  </si>
  <si>
    <t>Discounted Travel Time Savings - LV ($)</t>
  </si>
  <si>
    <t>Discounted Travel Time Savings - LV - Passenger ($)</t>
  </si>
  <si>
    <t>Discounted Travel Time Savings - LV - Business ($)</t>
  </si>
  <si>
    <t>Discounted Travel Time Savings - Total ($)</t>
  </si>
  <si>
    <t>Freight Vehicles (% of HV)</t>
  </si>
  <si>
    <t>Passenger Vehicles (% of LV)</t>
  </si>
  <si>
    <t>Business Vehicles (% of LV)</t>
  </si>
  <si>
    <t>Nominal Delay Reduction Savings - HV ($)</t>
  </si>
  <si>
    <t>Nominal Delay Reduction Savings - LV ($)</t>
  </si>
  <si>
    <t>Discounted Delay Reduction Savings - HV - Freight ($)</t>
  </si>
  <si>
    <t>Discounted Delay Reduction Savings - LV ($)</t>
  </si>
  <si>
    <t>Discounted Delay Reduction Savings - LV - Passenger ($)</t>
  </si>
  <si>
    <t>Discounted Delay Reduction Savings - LV - Business ($)</t>
  </si>
  <si>
    <t>Discounted Delay Reduction Savings - Total ($)</t>
  </si>
  <si>
    <t>Discounted Vehicle Operating Cost Savings - HV - Freight ($)</t>
  </si>
  <si>
    <t>Discounted Vehicle Operating Cost Savings - LV ($)</t>
  </si>
  <si>
    <t>Discounted Vehicle Operating Cost Savings - LV - Passenger ($)</t>
  </si>
  <si>
    <t>Discounted Vehicle Operating Cost Savings - LV - Business ($)</t>
  </si>
  <si>
    <t>Discounted Vehicle Operating Cost Savings - Total ($)</t>
  </si>
  <si>
    <t>Nominal Crash Cost Savings - HV ($)</t>
  </si>
  <si>
    <t>Nominal Crash Cost Savings - LV ($)</t>
  </si>
  <si>
    <t>Discounted Crash Cost Savings - HV - Freight ($)</t>
  </si>
  <si>
    <t>Discounted Crash Cost Savings - LV ($)</t>
  </si>
  <si>
    <t>Discounted Crash Cost Savings - LV - Passenger ($)</t>
  </si>
  <si>
    <t>Discounted Crash Cost Savings - LV - Business ($)</t>
  </si>
  <si>
    <t>Discounted Crash Cost Savings - Total ($)</t>
  </si>
  <si>
    <t>Conversion to $m</t>
  </si>
  <si>
    <t xml:space="preserve">Benefit Component </t>
  </si>
  <si>
    <t>Present Value of all Benefits ($m)</t>
  </si>
  <si>
    <t>Year 10 Only</t>
  </si>
  <si>
    <t>Year 10 Benefits in $m (10 years after construction complete)</t>
  </si>
  <si>
    <t>Year 10 Benefits as a percentage of total benefits</t>
  </si>
  <si>
    <t>Passenger (existing/ new users)</t>
  </si>
  <si>
    <t>Business (existing/ new users)</t>
  </si>
  <si>
    <t>Freight (existing/ new users)</t>
  </si>
  <si>
    <t>Total Travel Time Savings</t>
  </si>
  <si>
    <t>Reduced Vehicle Operating Costs (resource costs)</t>
  </si>
  <si>
    <t>Total Reduced Operating Costs</t>
  </si>
  <si>
    <t>Accident Reduction</t>
  </si>
  <si>
    <t>Total Accident Reduction</t>
  </si>
  <si>
    <t>Environmental Benefits</t>
  </si>
  <si>
    <t>Reduced Greenhouse Emissions</t>
  </si>
  <si>
    <t>Reduced Local Pollution</t>
  </si>
  <si>
    <t>Reduced Noise</t>
  </si>
  <si>
    <t>Other (i.e. Biodiversity)</t>
  </si>
  <si>
    <t>Total Environmental Benefits</t>
  </si>
  <si>
    <t>Reduced Maintenance Costs</t>
  </si>
  <si>
    <t>Routine (annual)</t>
  </si>
  <si>
    <t>Periodic</t>
  </si>
  <si>
    <t>Rehabilitation</t>
  </si>
  <si>
    <t>Total Reduced Maintenance Costs</t>
  </si>
  <si>
    <t>Other standard benefits (reliability, crowding, tolls/fare box)</t>
  </si>
  <si>
    <t>TOTAL STANDARD BENEFITS*</t>
  </si>
  <si>
    <t>Wider Economic Benefits</t>
  </si>
  <si>
    <t>Agglomeration Benefits</t>
  </si>
  <si>
    <t>Other Wider Economic Benefits</t>
  </si>
  <si>
    <t>Total Wider Economic Benefits</t>
  </si>
  <si>
    <t>Other Benefits (i.e. City shaping)</t>
  </si>
  <si>
    <t>(add category as required: such as heavy vehicle productivity)</t>
  </si>
  <si>
    <t>(add category as required)</t>
  </si>
  <si>
    <t>Total Other Benefits</t>
  </si>
  <si>
    <t>Original Category</t>
  </si>
  <si>
    <t>Segmented Category</t>
  </si>
  <si>
    <t>Proportion</t>
  </si>
  <si>
    <t>Heavy Vehicle</t>
  </si>
  <si>
    <t>Freight Vehicle</t>
  </si>
  <si>
    <t>Passenger Vehicle</t>
  </si>
  <si>
    <t>Business vehicle</t>
  </si>
  <si>
    <t xml:space="preserve">            Australian Bureau of Statistics</t>
  </si>
  <si>
    <t>93090DO001_2019 Motor Vehicle Census, Australia, 2019</t>
  </si>
  <si>
    <t>Released at 11:30 am (Canberra time) Mon 29 Jul 2019</t>
  </si>
  <si>
    <t>Table 1 MOTOR VEHICLES ON REGISTER, Type of vehicle–Census years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</si>
  <si>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</si>
  <si>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</si>
  <si>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</si>
  <si>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</si>
  <si>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</si>
  <si>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</si>
  <si>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</si>
  <si>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</si>
  <si>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Australia</t>
  </si>
  <si>
    <t>no.</t>
  </si>
  <si>
    <t>PASSENGER VEHICLES</t>
  </si>
  <si>
    <t>CAMPERVANS</t>
  </si>
  <si>
    <t>LIGHT COMMERCIAL VEHICLES</t>
  </si>
  <si>
    <t>LIGHT RIGID TRUCKS</t>
  </si>
  <si>
    <t>HEAVY RIGID TRUCKS</t>
  </si>
  <si>
    <t>ARTICULATED TRUCKS</t>
  </si>
  <si>
    <t>NON-FREIGHT CARRYING VEHICLES</t>
  </si>
  <si>
    <t>BUSES</t>
  </si>
  <si>
    <t>MOTOR CYCLES</t>
  </si>
  <si>
    <t>TOTAL MOTOR VEHICLES</t>
  </si>
  <si>
    <t>© Commonwealth of Australia 2019</t>
  </si>
  <si>
    <t>Passenger vehicles (Australia)</t>
  </si>
  <si>
    <t>Light commercial vehicles (Australia)</t>
  </si>
  <si>
    <t>%</t>
  </si>
  <si>
    <t>Website link</t>
  </si>
  <si>
    <t>Default Externality values</t>
  </si>
  <si>
    <t>Australian Transport Council (2006), National Guidelines for Transport System Management in Australia (2nd edition), Canberra</t>
  </si>
  <si>
    <t>https://www.transportinfrastructurecouncil.gov.au/publications</t>
  </si>
  <si>
    <t>Travel Time values</t>
  </si>
  <si>
    <t>Australian Transport Assessment and Planning Guidelines (2016), PV2 Road Paramter Values, Canberra</t>
  </si>
  <si>
    <t>https://www.atap.gov.au/parameter-values/road-transport/3-travel-time.aspx</t>
  </si>
  <si>
    <t>Willingess to Pay (WTP) values</t>
  </si>
  <si>
    <t>https://www.atap.gov.au/parameter-values/road-transport/4-crash-costs.aspx</t>
  </si>
  <si>
    <t>Consumer Price Index (CPI) values</t>
  </si>
  <si>
    <t>Australian Bureau of Statistics - Consumer Price Index, Australia, Jun 2019 - Catalogue no. 6401.0</t>
  </si>
  <si>
    <t>https://www.abs.gov.au/AUSSTATS/abs@.nsf/allprimarymainfeatures/03A4A18ECF3CDA26CA2584A20012C958?opendocument</t>
  </si>
  <si>
    <t>General Project Data</t>
  </si>
  <si>
    <t>Base case - Proportion of Vehicles Diverting (%)</t>
  </si>
  <si>
    <t>Serious Injuries</t>
  </si>
  <si>
    <t>Injuries</t>
  </si>
  <si>
    <t>Discount Rate (%)</t>
  </si>
  <si>
    <t>Base Case - Roughness (IRI)</t>
  </si>
  <si>
    <t>Project Case - Roughness (IRI)</t>
  </si>
  <si>
    <t>Value ($)</t>
  </si>
  <si>
    <t>Project Discount Rate Data</t>
  </si>
  <si>
    <t>Avoided Cost of Maintenance</t>
  </si>
  <si>
    <t>Maintenance Cost ($)</t>
  </si>
  <si>
    <t>Avoided Cost of Maintenance ($)</t>
  </si>
  <si>
    <t>Other Intersection (Level Crossings etc)</t>
  </si>
  <si>
    <t>Proportion of Vehicles Waiting (%)</t>
  </si>
  <si>
    <t>Avoided Cost of Diverting &amp; Waiting (including Externalities)</t>
  </si>
  <si>
    <t>Nominal Avoided Cost of Diverting &amp; Waiting (Externalities) - HV ($)</t>
  </si>
  <si>
    <t>Nominal Avoided Cost of Diverting &amp; Waiting (Externalities) - LV ($)</t>
  </si>
  <si>
    <t>Nominal Avoided Cost of Diverting &amp; Waiting (Externalities) - Total ($)</t>
  </si>
  <si>
    <t>Discounted Avoided Cost of Diverting &amp; Waiting (Externalities) - HV - Freight ($)</t>
  </si>
  <si>
    <t>Discounted Avoided Cost of Diverting &amp; Waiting (Externalities) - LV ($)</t>
  </si>
  <si>
    <t>Discounted Avoided Cost of Diverting &amp; Waiting (Externalities) - LV - Passenger ($)</t>
  </si>
  <si>
    <t>Discounted Avoided Cost of Diverting &amp; Waiting (Externalities) - LV - Business ($)</t>
  </si>
  <si>
    <t>Discounted Avoided Cost of Diverting &amp; Waiting (Externalities) - Total ($)</t>
  </si>
  <si>
    <t>Nominal Avoided Cost of Diverting &amp; Waiting (including Externalities) - HV ($)</t>
  </si>
  <si>
    <t>Nominal Avoided Cost of Diverting &amp; Waiting (including Externalities) - LV ($)</t>
  </si>
  <si>
    <t>Nominal Avoided Cost of Diverting &amp; Waiting (including Externalities) - Total ($)</t>
  </si>
  <si>
    <t>Discounted Avoided Cost of Diverting &amp; Waiting (including Externalities) - HV - Freight ($)</t>
  </si>
  <si>
    <t>Discounted Avoided Cost of Diverting &amp; Waiting (including Externalities) - LV ($)</t>
  </si>
  <si>
    <t>Discounted Avoided Cost of Diverting &amp; Waiting (including Externalities) - LV - Passenger ($)</t>
  </si>
  <si>
    <t>Discounted Avoided Cost of Diverting &amp; Waiting (including Externalities) - LV - Business ($)</t>
  </si>
  <si>
    <t>Discounted Avoided Cost of Diverting &amp; Waiting (including Externalities) - Total ($)</t>
  </si>
  <si>
    <t>Road Roughness Index (IRI) - Value</t>
  </si>
  <si>
    <t>Discount rate (%)</t>
  </si>
  <si>
    <t>Net Present Value</t>
  </si>
  <si>
    <t xml:space="preserve">Total Economic Benefits </t>
  </si>
  <si>
    <t>Select 4% or 7%</t>
  </si>
  <si>
    <t>Enter salvage value (if applicable)</t>
  </si>
  <si>
    <t>Enter project length</t>
  </si>
  <si>
    <t>Enter number of fatalities experienced over the last 15 years</t>
  </si>
  <si>
    <t>Enter number of serious injuries experienced over the last 15 years</t>
  </si>
  <si>
    <t>Enter number of injuries experienced over the last 15 years</t>
  </si>
  <si>
    <t>Project Case - Average Speed (km/hr)</t>
  </si>
  <si>
    <t>Base Case - Total Delay (hrs/year)</t>
  </si>
  <si>
    <t>Travel Time Savings (TTS, hrs per trip)</t>
  </si>
  <si>
    <t xml:space="preserve">Value per Occupant ($ per hr) </t>
  </si>
  <si>
    <t xml:space="preserve">Value per Payload ($ per hr) </t>
  </si>
  <si>
    <t>Annual Average Cost - 2013 ($)</t>
  </si>
  <si>
    <t>CPI Adjusted - Annual Average Cost - 2019 ($)</t>
  </si>
  <si>
    <t>CPI Adjusted Externalities - 2019 ($)</t>
  </si>
  <si>
    <t>Combined Value - 2013 ($)</t>
  </si>
  <si>
    <t>Nominal Savings per HV (cents per km ) - 2013 ($)</t>
  </si>
  <si>
    <t>Nominal Savings per LV (cents per km ) - 2013 ($)</t>
  </si>
  <si>
    <t>Enter unescalated project capital cost including contingency (P50 or P90)</t>
  </si>
  <si>
    <t>Average Annual Daily Traffic (AADT, number)</t>
  </si>
  <si>
    <t>Enter actual or estimated AADT</t>
  </si>
  <si>
    <t>Estimate long term traffic growth</t>
  </si>
  <si>
    <t>Estimate average speed under the base case</t>
  </si>
  <si>
    <t>Estimate average speed under the project case</t>
  </si>
  <si>
    <t>Estimate the average level of roughness under the base case</t>
  </si>
  <si>
    <t>Estimate the average level of roughness under the project case</t>
  </si>
  <si>
    <t>Average Delay (Seconds)</t>
  </si>
  <si>
    <t>Other Travel Time Savings Data (if applicable)</t>
  </si>
  <si>
    <t xml:space="preserve">Enter number of roundabouts and associated delay </t>
  </si>
  <si>
    <t>Signalised</t>
  </si>
  <si>
    <t xml:space="preserve">Enter number of signalised intersections and associated delay </t>
  </si>
  <si>
    <t xml:space="preserve">Enter number of unsignalised intersections and associated delay  </t>
  </si>
  <si>
    <t xml:space="preserve">Enter number of other intersections and associated delay  </t>
  </si>
  <si>
    <t>Estimate the reduction in delays under the project case as a whole</t>
  </si>
  <si>
    <t>Project Case - Estimated Reduction in Delays (%)</t>
  </si>
  <si>
    <t>Estimate the reduction in crashes under the project case as a whole</t>
  </si>
  <si>
    <t>Diversion &amp; Waiting Time Data</t>
  </si>
  <si>
    <t>Crash Savings</t>
  </si>
  <si>
    <t>Diversion and Avoided Waiting Time Savings</t>
  </si>
  <si>
    <t>Estimate proportion of vehicles diverting due to road closure</t>
  </si>
  <si>
    <t>Estimate proportion of vehicles waiting due to road closure</t>
  </si>
  <si>
    <t>Enter length of diversionary route</t>
  </si>
  <si>
    <t>Estimate the average number of days the road is closed per year</t>
  </si>
  <si>
    <t>Enter average speed on diversionary route</t>
  </si>
  <si>
    <t>Instructions</t>
  </si>
  <si>
    <t>Maintenance Costs - Project Case</t>
  </si>
  <si>
    <t>Avoided Maintenance Costs - Base Case</t>
  </si>
  <si>
    <t>Base Case - Proporiton of Vehicles Waiting (%)</t>
  </si>
  <si>
    <t>Distance Travelled on Alternative Route (km)</t>
  </si>
  <si>
    <t>Average speed on diversionary route (km/h)</t>
  </si>
  <si>
    <t>Fatalities (actual or estimated number)</t>
  </si>
  <si>
    <t>Serious Injuries (actual or estimated number)</t>
  </si>
  <si>
    <t>Injuries (actual or estimated number)</t>
  </si>
  <si>
    <t>Duration of Road Closures (days/year)</t>
  </si>
  <si>
    <t>Average Annual Daily Trips (AADT, number)</t>
  </si>
  <si>
    <t>Index Numbers ;  All groups CPI ;  Sydney ;</t>
  </si>
  <si>
    <t>Index Numbers ;  All groups CPI ;  Melbourne ;</t>
  </si>
  <si>
    <t>Index Numbers ;  All groups CPI ;  Brisbane ;</t>
  </si>
  <si>
    <t>Index Numbers ;  All groups CPI ;  Adelaide ;</t>
  </si>
  <si>
    <t>Index Numbers ;  All groups CPI ;  Perth ;</t>
  </si>
  <si>
    <t>Index Numbers ;  All groups CPI ;  Hobart ;</t>
  </si>
  <si>
    <t>Index Numbers ;  All groups CPI ;  Darwin ;</t>
  </si>
  <si>
    <t>Index Numbers ;  All groups CPI ;  Canberra ;</t>
  </si>
  <si>
    <t>Index Numbers ;  All groups CPI ;  Australia ;</t>
  </si>
  <si>
    <t>Percentage Change from Corresponding Quarter of Previous Year ;  All groups CPI ;  Sydney ;</t>
  </si>
  <si>
    <t>Percentage Change from Corresponding Quarter of Previous Year ;  All groups CPI ;  Melbourne ;</t>
  </si>
  <si>
    <t>Percentage Change from Corresponding Quarter of Previous Year ;  All groups CPI ;  Brisbane ;</t>
  </si>
  <si>
    <t>Percentage Change from Corresponding Quarter of Previous Year ;  All groups CPI ;  Adelaide ;</t>
  </si>
  <si>
    <t>Percentage Change from Corresponding Quarter of Previous Year ;  All groups CPI ;  Perth ;</t>
  </si>
  <si>
    <t>Percentage Change from Corresponding Quarter of Previous Year ;  All groups CPI ;  Hobart ;</t>
  </si>
  <si>
    <t>Percentage Change from Corresponding Quarter of Previous Year ;  All groups CPI ;  Darwin ;</t>
  </si>
  <si>
    <t>Percentage Change from Corresponding Quarter of Previous Year ;  All groups CPI ;  Canberra ;</t>
  </si>
  <si>
    <t>Percentage Change from Corresponding Quarter of Previous Year ;  All groups CPI ;  Australia ;</t>
  </si>
  <si>
    <t>Percentage Change from Previous Period ;  All groups CPI ;  Sydney ;</t>
  </si>
  <si>
    <t>Percentage Change from Previous Period ;  All groups CPI ;  Melbourne ;</t>
  </si>
  <si>
    <t>Percentage Change from Previous Period ;  All groups CPI ;  Brisbane ;</t>
  </si>
  <si>
    <t>Percentage Change from Previous Period ;  All groups CPI ;  Adelaide ;</t>
  </si>
  <si>
    <t>Percentage Change from Previous Period ;  All groups CPI ;  Perth ;</t>
  </si>
  <si>
    <t>Percentage Change from Previous Period ;  All groups CPI ;  Hobart ;</t>
  </si>
  <si>
    <t>Percentage Change from Previous Period ;  All groups CPI ;  Darwin ;</t>
  </si>
  <si>
    <t>Percentage Change from Previous Period ;  All groups CPI ;  Canberra ;</t>
  </si>
  <si>
    <t>Percentage Change from Previous Period ;  All groups CPI ;  Australia ;</t>
  </si>
  <si>
    <t>Unit</t>
  </si>
  <si>
    <t>Index Numbers</t>
  </si>
  <si>
    <t>Percent</t>
  </si>
  <si>
    <t>Series Type</t>
  </si>
  <si>
    <t>Original</t>
  </si>
  <si>
    <t>Data Type</t>
  </si>
  <si>
    <t>INDEX</t>
  </si>
  <si>
    <t>PERCENT</t>
  </si>
  <si>
    <t>Frequency</t>
  </si>
  <si>
    <t>Quarter</t>
  </si>
  <si>
    <t>Collection Month</t>
  </si>
  <si>
    <t>Series Start</t>
  </si>
  <si>
    <t>Series End</t>
  </si>
  <si>
    <t>No. Obs</t>
  </si>
  <si>
    <t>Series ID</t>
  </si>
  <si>
    <t>A2325806K</t>
  </si>
  <si>
    <t>A2325811C</t>
  </si>
  <si>
    <t>A2325816R</t>
  </si>
  <si>
    <t>A2325821J</t>
  </si>
  <si>
    <t>A2325826V</t>
  </si>
  <si>
    <t>A2325831L</t>
  </si>
  <si>
    <t>A2325836X</t>
  </si>
  <si>
    <t>A2325841T</t>
  </si>
  <si>
    <t>A2325846C</t>
  </si>
  <si>
    <t>A2325807L</t>
  </si>
  <si>
    <t>A2325812F</t>
  </si>
  <si>
    <t>A2325817T</t>
  </si>
  <si>
    <t>A2325822K</t>
  </si>
  <si>
    <t>A2325827W</t>
  </si>
  <si>
    <t>A2325832R</t>
  </si>
  <si>
    <t>A2325837A</t>
  </si>
  <si>
    <t>A2325842V</t>
  </si>
  <si>
    <t>A2325847F</t>
  </si>
  <si>
    <t>A2325810A</t>
  </si>
  <si>
    <t>A2325815L</t>
  </si>
  <si>
    <t>A2325820F</t>
  </si>
  <si>
    <t>A2325825T</t>
  </si>
  <si>
    <t>A2325830K</t>
  </si>
  <si>
    <t>A2325835W</t>
  </si>
  <si>
    <t>A2325840R</t>
  </si>
  <si>
    <t>A2325845A</t>
  </si>
  <si>
    <t>A2325850V</t>
  </si>
  <si>
    <t>Number of days in year</t>
  </si>
  <si>
    <t>Free Flow Model - Input Sheet</t>
  </si>
  <si>
    <t>Estimate percentage of heavy vehicles</t>
  </si>
  <si>
    <t>Free Flow Model - Summary Sheet</t>
  </si>
  <si>
    <t>Table D4 - Project Proposal Report template</t>
  </si>
  <si>
    <t>Benefit Cost Ratio (BCR)</t>
  </si>
  <si>
    <t>Avoided Costs of Diversion (including Externalities)</t>
  </si>
  <si>
    <t>Base Case - Speed on diversionary route (km/h)</t>
  </si>
  <si>
    <t>VOC savings for avoided road closures (HVs - $)</t>
  </si>
  <si>
    <t>VOC savings for road closures (LVs - $)</t>
  </si>
  <si>
    <t>Avoided Cost of Diversions</t>
  </si>
  <si>
    <t>Avoided Cost of Diversion or Waiting - Due to Maintenance or Flooding, etc</t>
  </si>
  <si>
    <t>Combined savings - avoided waiting, avoided diversions, externalities)</t>
  </si>
  <si>
    <t xml:space="preserve">Total hours saved due to avoided Road Closures </t>
  </si>
  <si>
    <t>Dollar value of savings - Heavy vehicles</t>
  </si>
  <si>
    <t>Dollar value of savings - Light vehicles</t>
  </si>
  <si>
    <t xml:space="preserve">Total Externalities (cents per km) - 2005 </t>
  </si>
  <si>
    <t>CPI Adjusted Externalities - 2019 - cents per km</t>
  </si>
  <si>
    <t>CPI Adjusted - 2019 ($)</t>
  </si>
  <si>
    <t>Light vehicles</t>
  </si>
  <si>
    <t>Externalities (LV)</t>
  </si>
  <si>
    <t>Externalities (HV)</t>
  </si>
  <si>
    <t>Diversions</t>
  </si>
  <si>
    <t>Parameter</t>
  </si>
  <si>
    <t>Vehicle Operating Cost Savings (VOCs)</t>
  </si>
  <si>
    <t xml:space="preserve">Base Case - Road Roughness (IRI) </t>
  </si>
  <si>
    <t xml:space="preserve">Project Case - Road Roughness (IRI) </t>
  </si>
  <si>
    <t>Constants</t>
  </si>
  <si>
    <t>Base case VOC</t>
  </si>
  <si>
    <t>Project case VOC</t>
  </si>
  <si>
    <t>Project Case (VOC)</t>
  </si>
  <si>
    <t>Other</t>
  </si>
  <si>
    <t>Discounted Economic Costs</t>
  </si>
  <si>
    <t>Discounted Economic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</si>
</sst>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yyyy"/>
    <numFmt numFmtId="165" formatCode="0.0;\-0.0;0.0;@"/>
    <numFmt numFmtId="166" formatCode="_-&quot;$&quot;* #,##0_-;\-&quot;$&quot;* #,##0_-;_-&quot;$&quot;* &quot;-&quot;??_-;_-@_-"/>
    <numFmt numFmtId="167" formatCode="0.000000"/>
    <numFmt numFmtId="168" formatCode="0.0000000000"/>
    <numFmt numFmtId="169" formatCode="0.0000"/>
    <numFmt numFmtId="170" formatCode="&quot;$&quot;#,##0;[Red]&quot;$&quot;#,##0"/>
    <numFmt numFmtId="171" formatCode="0.0%"/>
    <numFmt numFmtId="172" formatCode="&quot;$&quot;#,##0"/>
    <numFmt numFmtId="173" formatCode="_-* #,##0_-;\-* #,##0_-;_-* &quot;-&quot;??_-;_-@_-"/>
    <numFmt numFmtId="174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indexed="81"/>
      <name val="Tahoma"/>
      <family val="2"/>
    </font>
    <font>
      <b/>
      <sz val="12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/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</cellStyleXfs>
  <cellXfs count="224">
    <xf numFmtId="0" fontId="0" fillId="0" borderId="0" xfId="0"/>
    <xf numFmtId="9" fontId="0" fillId="0" borderId="0" xfId="1" applyFont="1"/>
    <xf numFmtId="0" fontId="0" fillId="2" borderId="0" xfId="0" applyFill="1"/>
    <xf numFmtId="2" fontId="0" fillId="0" borderId="0" xfId="0" applyNumberFormat="1"/>
    <xf numFmtId="0" fontId="3" fillId="0" borderId="0" xfId="2" applyFont="1" applyAlignment="1">
      <alignment horizontal="left" vertical="top"/>
    </xf>
    <xf numFmtId="0" fontId="2" fillId="0" borderId="0" xfId="2"/>
    <xf numFmtId="0" fontId="5" fillId="0" borderId="0" xfId="2" applyFont="1" applyAlignment="1">
      <alignment horizontal="left" vertical="top"/>
    </xf>
    <xf numFmtId="0" fontId="7" fillId="0" borderId="1" xfId="2" applyFont="1" applyBorder="1" applyAlignment="1">
      <alignment horizontal="left" vertical="center" wrapText="1" indent="1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3" xfId="2" applyNumberFormat="1" applyFont="1" applyBorder="1" applyAlignment="1">
      <alignment horizontal="center" vertical="center" wrapText="1"/>
    </xf>
    <xf numFmtId="3" fontId="7" fillId="0" borderId="5" xfId="2" applyNumberFormat="1" applyFont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center" wrapText="1"/>
    </xf>
    <xf numFmtId="0" fontId="7" fillId="0" borderId="6" xfId="2" applyFont="1" applyBorder="1" applyAlignment="1">
      <alignment horizontal="left" vertical="center" wrapText="1" indent="1"/>
    </xf>
    <xf numFmtId="0" fontId="2" fillId="0" borderId="7" xfId="2" applyBorder="1" applyAlignment="1">
      <alignment horizontal="left" vertical="top" wrapText="1"/>
    </xf>
    <xf numFmtId="3" fontId="7" fillId="0" borderId="8" xfId="2" applyNumberFormat="1" applyFont="1" applyBorder="1" applyAlignment="1">
      <alignment horizontal="center" vertical="center" wrapText="1"/>
    </xf>
    <xf numFmtId="3" fontId="7" fillId="0" borderId="9" xfId="2" applyNumberFormat="1" applyFont="1" applyBorder="1" applyAlignment="1">
      <alignment horizontal="center" vertical="center" wrapText="1"/>
    </xf>
    <xf numFmtId="0" fontId="2" fillId="0" borderId="10" xfId="2" applyBorder="1" applyAlignment="1">
      <alignment horizontal="left" vertical="top" wrapText="1"/>
    </xf>
    <xf numFmtId="0" fontId="9" fillId="0" borderId="0" xfId="2" applyFont="1" applyAlignment="1">
      <alignment horizontal="left" vertical="top"/>
    </xf>
    <xf numFmtId="0" fontId="7" fillId="0" borderId="0" xfId="2" applyFont="1" applyAlignment="1">
      <alignment horizontal="left" vertical="top"/>
    </xf>
    <xf numFmtId="3" fontId="2" fillId="0" borderId="0" xfId="2" applyNumberFormat="1"/>
    <xf numFmtId="165" fontId="11" fillId="0" borderId="0" xfId="0" applyNumberFormat="1" applyFont="1" applyAlignment="1"/>
    <xf numFmtId="0" fontId="0" fillId="0" borderId="0" xfId="0"/>
    <xf numFmtId="164" fontId="11" fillId="0" borderId="0" xfId="0" applyNumberFormat="1" applyFont="1" applyAlignment="1">
      <alignment horizontal="left"/>
    </xf>
    <xf numFmtId="44" fontId="0" fillId="0" borderId="0" xfId="3" applyFont="1"/>
    <xf numFmtId="166" fontId="0" fillId="0" borderId="0" xfId="3" applyNumberFormat="1" applyFont="1"/>
    <xf numFmtId="9" fontId="0" fillId="0" borderId="0" xfId="0" applyNumberFormat="1"/>
    <xf numFmtId="0" fontId="0" fillId="0" borderId="0" xfId="0" applyAlignment="1">
      <alignment wrapText="1"/>
    </xf>
    <xf numFmtId="0" fontId="12" fillId="0" borderId="0" xfId="0" applyFont="1"/>
    <xf numFmtId="16" fontId="12" fillId="0" borderId="0" xfId="0" applyNumberFormat="1" applyFont="1"/>
    <xf numFmtId="0" fontId="12" fillId="0" borderId="0" xfId="0" applyFont="1" applyAlignment="1">
      <alignment wrapText="1"/>
    </xf>
    <xf numFmtId="0" fontId="13" fillId="0" borderId="0" xfId="0" applyFont="1"/>
    <xf numFmtId="43" fontId="0" fillId="0" borderId="0" xfId="4" applyFont="1"/>
    <xf numFmtId="43" fontId="13" fillId="0" borderId="0" xfId="4" applyFont="1"/>
    <xf numFmtId="43" fontId="13" fillId="0" borderId="0" xfId="0" applyNumberFormat="1" applyFont="1"/>
    <xf numFmtId="0" fontId="0" fillId="0" borderId="0" xfId="0" applyFill="1"/>
    <xf numFmtId="2" fontId="0" fillId="0" borderId="0" xfId="4" applyNumberFormat="1" applyFont="1"/>
    <xf numFmtId="0" fontId="13" fillId="0" borderId="0" xfId="0" applyFont="1" applyFill="1"/>
    <xf numFmtId="0" fontId="12" fillId="0" borderId="0" xfId="0" applyFont="1" applyFill="1"/>
    <xf numFmtId="43" fontId="0" fillId="0" borderId="0" xfId="4" applyFont="1" applyAlignment="1">
      <alignment horizontal="right"/>
    </xf>
    <xf numFmtId="0" fontId="13" fillId="0" borderId="0" xfId="0" applyFont="1" applyAlignment="1">
      <alignment wrapText="1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3" applyNumberFormat="1" applyFont="1"/>
    <xf numFmtId="3" fontId="0" fillId="0" borderId="0" xfId="0" applyNumberFormat="1" applyFont="1"/>
    <xf numFmtId="0" fontId="0" fillId="0" borderId="0" xfId="0" applyFont="1" applyFill="1"/>
    <xf numFmtId="9" fontId="0" fillId="0" borderId="0" xfId="0" applyNumberFormat="1" applyFont="1"/>
    <xf numFmtId="2" fontId="0" fillId="0" borderId="0" xfId="0" applyNumberFormat="1" applyFont="1"/>
    <xf numFmtId="2" fontId="0" fillId="0" borderId="0" xfId="0" applyNumberFormat="1" applyFont="1" applyAlignment="1">
      <alignment horizontal="right"/>
    </xf>
    <xf numFmtId="9" fontId="0" fillId="0" borderId="0" xfId="0" applyNumberFormat="1" applyFont="1" applyFill="1"/>
    <xf numFmtId="0" fontId="0" fillId="0" borderId="0" xfId="0" applyFont="1" applyAlignment="1">
      <alignment wrapText="1"/>
    </xf>
    <xf numFmtId="171" fontId="0" fillId="0" borderId="0" xfId="0" applyNumberFormat="1"/>
    <xf numFmtId="0" fontId="12" fillId="0" borderId="0" xfId="0" applyFont="1" applyFill="1" applyAlignment="1">
      <alignment wrapText="1"/>
    </xf>
    <xf numFmtId="4" fontId="0" fillId="0" borderId="0" xfId="3" applyNumberFormat="1" applyFont="1"/>
    <xf numFmtId="4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9" fontId="0" fillId="0" borderId="0" xfId="0" applyNumberFormat="1" applyAlignment="1">
      <alignment horizontal="right"/>
    </xf>
    <xf numFmtId="3" fontId="0" fillId="0" borderId="0" xfId="3" applyNumberFormat="1" applyFont="1" applyAlignment="1">
      <alignment wrapText="1"/>
    </xf>
    <xf numFmtId="170" fontId="0" fillId="0" borderId="0" xfId="0" applyNumberFormat="1" applyFont="1"/>
    <xf numFmtId="0" fontId="0" fillId="0" borderId="0" xfId="0" applyFont="1" applyFill="1" applyAlignment="1">
      <alignment wrapText="1"/>
    </xf>
    <xf numFmtId="167" fontId="0" fillId="0" borderId="0" xfId="0" applyNumberFormat="1" applyFont="1" applyFill="1"/>
    <xf numFmtId="2" fontId="0" fillId="0" borderId="0" xfId="0" applyNumberFormat="1" applyFont="1" applyFill="1"/>
    <xf numFmtId="169" fontId="0" fillId="0" borderId="0" xfId="0" applyNumberFormat="1" applyFont="1"/>
    <xf numFmtId="168" fontId="0" fillId="0" borderId="0" xfId="0" applyNumberFormat="1" applyFont="1"/>
    <xf numFmtId="43" fontId="0" fillId="0" borderId="0" xfId="0" applyNumberFormat="1" applyFont="1"/>
    <xf numFmtId="172" fontId="0" fillId="0" borderId="0" xfId="3" applyNumberFormat="1" applyFont="1"/>
    <xf numFmtId="173" fontId="13" fillId="0" borderId="0" xfId="0" applyNumberFormat="1" applyFont="1"/>
    <xf numFmtId="0" fontId="12" fillId="0" borderId="0" xfId="0" applyFont="1" applyAlignment="1"/>
    <xf numFmtId="0" fontId="14" fillId="0" borderId="0" xfId="0" applyFont="1"/>
    <xf numFmtId="3" fontId="13" fillId="0" borderId="0" xfId="0" applyNumberFormat="1" applyFont="1"/>
    <xf numFmtId="0" fontId="0" fillId="0" borderId="11" xfId="0" applyBorder="1"/>
    <xf numFmtId="43" fontId="0" fillId="0" borderId="11" xfId="0" applyNumberFormat="1" applyBorder="1"/>
    <xf numFmtId="0" fontId="12" fillId="0" borderId="12" xfId="0" applyFont="1" applyBorder="1" applyAlignment="1">
      <alignment vertical="center"/>
    </xf>
    <xf numFmtId="0" fontId="12" fillId="0" borderId="7" xfId="0" applyFont="1" applyBorder="1"/>
    <xf numFmtId="0" fontId="0" fillId="0" borderId="7" xfId="0" applyBorder="1"/>
    <xf numFmtId="0" fontId="12" fillId="0" borderId="11" xfId="0" applyFont="1" applyBorder="1"/>
    <xf numFmtId="9" fontId="0" fillId="0" borderId="11" xfId="0" applyNumberFormat="1" applyBorder="1"/>
    <xf numFmtId="173" fontId="0" fillId="0" borderId="0" xfId="4" applyNumberFormat="1" applyFont="1"/>
    <xf numFmtId="0" fontId="16" fillId="3" borderId="0" xfId="5" applyFont="1" applyFill="1" applyAlignment="1">
      <alignment vertical="center"/>
    </xf>
    <xf numFmtId="0" fontId="17" fillId="3" borderId="0" xfId="5" applyFont="1" applyFill="1" applyAlignment="1">
      <alignment vertical="center"/>
    </xf>
    <xf numFmtId="0" fontId="15" fillId="3" borderId="0" xfId="5" applyFill="1"/>
    <xf numFmtId="0" fontId="15" fillId="0" borderId="0" xfId="5"/>
    <xf numFmtId="0" fontId="18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19" fillId="0" borderId="0" xfId="5" applyFont="1" applyAlignment="1">
      <alignment horizontal="left"/>
    </xf>
    <xf numFmtId="0" fontId="20" fillId="0" borderId="0" xfId="5" applyFont="1" applyAlignment="1">
      <alignment horizontal="right" wrapText="1"/>
    </xf>
    <xf numFmtId="0" fontId="21" fillId="0" borderId="0" xfId="5" applyFont="1" applyAlignment="1">
      <alignment horizontal="left" wrapText="1"/>
    </xf>
    <xf numFmtId="0" fontId="21" fillId="0" borderId="0" xfId="5" applyFont="1" applyAlignment="1">
      <alignment horizontal="right"/>
    </xf>
    <xf numFmtId="0" fontId="21" fillId="0" borderId="0" xfId="5" applyFont="1" applyAlignment="1">
      <alignment horizontal="left"/>
    </xf>
    <xf numFmtId="173" fontId="11" fillId="0" borderId="0" xfId="4" applyNumberFormat="1" applyFont="1"/>
    <xf numFmtId="3" fontId="15" fillId="0" borderId="0" xfId="5" applyNumberFormat="1"/>
    <xf numFmtId="173" fontId="11" fillId="0" borderId="0" xfId="4" applyNumberFormat="1" applyFont="1" applyFill="1"/>
    <xf numFmtId="174" fontId="15" fillId="0" borderId="0" xfId="5" applyNumberFormat="1"/>
    <xf numFmtId="171" fontId="15" fillId="0" borderId="0" xfId="1" applyNumberFormat="1" applyFont="1"/>
    <xf numFmtId="0" fontId="22" fillId="0" borderId="0" xfId="5" applyFont="1" applyAlignment="1">
      <alignment horizontal="left"/>
    </xf>
    <xf numFmtId="173" fontId="15" fillId="0" borderId="0" xfId="5" applyNumberFormat="1"/>
    <xf numFmtId="173" fontId="0" fillId="0" borderId="0" xfId="0" applyNumberFormat="1"/>
    <xf numFmtId="0" fontId="25" fillId="0" borderId="0" xfId="0" applyFont="1" applyBorder="1"/>
    <xf numFmtId="0" fontId="25" fillId="0" borderId="0" xfId="0" applyFont="1"/>
    <xf numFmtId="0" fontId="24" fillId="0" borderId="0" xfId="0" applyFont="1" applyBorder="1"/>
    <xf numFmtId="0" fontId="25" fillId="0" borderId="0" xfId="0" applyFont="1" applyFill="1" applyBorder="1"/>
    <xf numFmtId="3" fontId="25" fillId="0" borderId="0" xfId="0" applyNumberFormat="1" applyFont="1"/>
    <xf numFmtId="3" fontId="25" fillId="0" borderId="0" xfId="3" applyNumberFormat="1" applyFont="1" applyBorder="1"/>
    <xf numFmtId="43" fontId="25" fillId="0" borderId="0" xfId="4" applyFont="1"/>
    <xf numFmtId="2" fontId="25" fillId="0" borderId="0" xfId="4" applyNumberFormat="1" applyFont="1"/>
    <xf numFmtId="2" fontId="25" fillId="0" borderId="0" xfId="0" applyNumberFormat="1" applyFont="1"/>
    <xf numFmtId="9" fontId="25" fillId="0" borderId="0" xfId="0" applyNumberFormat="1" applyFont="1" applyBorder="1"/>
    <xf numFmtId="43" fontId="26" fillId="0" borderId="0" xfId="4" applyFont="1"/>
    <xf numFmtId="0" fontId="25" fillId="0" borderId="0" xfId="0" applyFont="1" applyFill="1"/>
    <xf numFmtId="0" fontId="24" fillId="6" borderId="0" xfId="0" applyFont="1" applyFill="1" applyBorder="1"/>
    <xf numFmtId="3" fontId="25" fillId="6" borderId="0" xfId="3" applyNumberFormat="1" applyFont="1" applyFill="1" applyBorder="1"/>
    <xf numFmtId="0" fontId="25" fillId="6" borderId="0" xfId="0" applyFont="1" applyFill="1" applyBorder="1"/>
    <xf numFmtId="0" fontId="25" fillId="0" borderId="15" xfId="0" applyFont="1" applyBorder="1"/>
    <xf numFmtId="0" fontId="25" fillId="5" borderId="16" xfId="0" applyFont="1" applyFill="1" applyBorder="1"/>
    <xf numFmtId="0" fontId="24" fillId="0" borderId="16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5" fillId="0" borderId="16" xfId="0" applyFont="1" applyBorder="1"/>
    <xf numFmtId="0" fontId="24" fillId="0" borderId="17" xfId="0" applyFont="1" applyBorder="1"/>
    <xf numFmtId="0" fontId="25" fillId="0" borderId="22" xfId="0" applyFont="1" applyBorder="1"/>
    <xf numFmtId="0" fontId="24" fillId="6" borderId="15" xfId="0" applyFont="1" applyFill="1" applyBorder="1"/>
    <xf numFmtId="3" fontId="25" fillId="0" borderId="0" xfId="0" applyNumberFormat="1" applyFont="1" applyBorder="1"/>
    <xf numFmtId="3" fontId="25" fillId="0" borderId="22" xfId="0" applyNumberFormat="1" applyFont="1" applyBorder="1"/>
    <xf numFmtId="3" fontId="25" fillId="6" borderId="22" xfId="0" applyNumberFormat="1" applyFont="1" applyFill="1" applyBorder="1"/>
    <xf numFmtId="3" fontId="25" fillId="6" borderId="0" xfId="0" applyNumberFormat="1" applyFont="1" applyFill="1" applyBorder="1"/>
    <xf numFmtId="43" fontId="25" fillId="0" borderId="0" xfId="4" applyFont="1" applyBorder="1"/>
    <xf numFmtId="43" fontId="25" fillId="0" borderId="22" xfId="4" applyFont="1" applyBorder="1"/>
    <xf numFmtId="2" fontId="25" fillId="0" borderId="0" xfId="4" applyNumberFormat="1" applyFont="1" applyBorder="1"/>
    <xf numFmtId="2" fontId="25" fillId="0" borderId="22" xfId="4" applyNumberFormat="1" applyFont="1" applyBorder="1"/>
    <xf numFmtId="0" fontId="24" fillId="0" borderId="22" xfId="0" applyFont="1" applyBorder="1" applyAlignment="1">
      <alignment wrapText="1"/>
    </xf>
    <xf numFmtId="2" fontId="25" fillId="0" borderId="0" xfId="0" applyNumberFormat="1" applyFont="1" applyBorder="1"/>
    <xf numFmtId="2" fontId="25" fillId="0" borderId="22" xfId="0" applyNumberFormat="1" applyFont="1" applyBorder="1"/>
    <xf numFmtId="0" fontId="25" fillId="0" borderId="23" xfId="0" applyFont="1" applyBorder="1"/>
    <xf numFmtId="0" fontId="25" fillId="0" borderId="24" xfId="0" applyFont="1" applyBorder="1"/>
    <xf numFmtId="9" fontId="25" fillId="5" borderId="21" xfId="1" applyFont="1" applyFill="1" applyBorder="1"/>
    <xf numFmtId="3" fontId="25" fillId="5" borderId="21" xfId="3" applyNumberFormat="1" applyFont="1" applyFill="1" applyBorder="1"/>
    <xf numFmtId="9" fontId="25" fillId="5" borderId="21" xfId="1" applyNumberFormat="1" applyFont="1" applyFill="1" applyBorder="1"/>
    <xf numFmtId="0" fontId="25" fillId="5" borderId="21" xfId="0" applyFont="1" applyFill="1" applyBorder="1"/>
    <xf numFmtId="9" fontId="25" fillId="5" borderId="21" xfId="0" applyNumberFormat="1" applyFont="1" applyFill="1" applyBorder="1"/>
    <xf numFmtId="0" fontId="25" fillId="0" borderId="16" xfId="0" applyFont="1" applyFill="1" applyBorder="1"/>
    <xf numFmtId="0" fontId="25" fillId="0" borderId="16" xfId="0" applyFont="1" applyBorder="1" applyAlignment="1">
      <alignment wrapText="1"/>
    </xf>
    <xf numFmtId="0" fontId="25" fillId="0" borderId="19" xfId="0" applyFont="1" applyBorder="1"/>
    <xf numFmtId="9" fontId="25" fillId="5" borderId="24" xfId="1" applyFont="1" applyFill="1" applyBorder="1"/>
    <xf numFmtId="0" fontId="24" fillId="6" borderId="16" xfId="0" applyFont="1" applyFill="1" applyBorder="1"/>
    <xf numFmtId="0" fontId="25" fillId="6" borderId="16" xfId="0" applyFont="1" applyFill="1" applyBorder="1"/>
    <xf numFmtId="0" fontId="24" fillId="0" borderId="15" xfId="0" applyFont="1" applyBorder="1"/>
    <xf numFmtId="0" fontId="27" fillId="7" borderId="18" xfId="0" applyFont="1" applyFill="1" applyBorder="1" applyAlignment="1">
      <alignment horizontal="center"/>
    </xf>
    <xf numFmtId="0" fontId="24" fillId="6" borderId="19" xfId="0" applyFont="1" applyFill="1" applyBorder="1"/>
    <xf numFmtId="0" fontId="24" fillId="6" borderId="25" xfId="0" applyFont="1" applyFill="1" applyBorder="1"/>
    <xf numFmtId="0" fontId="24" fillId="6" borderId="17" xfId="0" applyFont="1" applyFill="1" applyBorder="1"/>
    <xf numFmtId="0" fontId="25" fillId="6" borderId="20" xfId="0" applyFont="1" applyFill="1" applyBorder="1"/>
    <xf numFmtId="0" fontId="25" fillId="6" borderId="21" xfId="0" applyFont="1" applyFill="1" applyBorder="1"/>
    <xf numFmtId="0" fontId="25" fillId="5" borderId="19" xfId="0" applyFont="1" applyFill="1" applyBorder="1"/>
    <xf numFmtId="0" fontId="24" fillId="6" borderId="16" xfId="0" applyFont="1" applyFill="1" applyBorder="1" applyAlignment="1"/>
    <xf numFmtId="0" fontId="25" fillId="0" borderId="19" xfId="0" applyFont="1" applyBorder="1" applyAlignment="1">
      <alignment wrapText="1"/>
    </xf>
    <xf numFmtId="0" fontId="25" fillId="5" borderId="24" xfId="0" applyFont="1" applyFill="1" applyBorder="1"/>
    <xf numFmtId="9" fontId="25" fillId="6" borderId="16" xfId="0" applyNumberFormat="1" applyFont="1" applyFill="1" applyBorder="1"/>
    <xf numFmtId="2" fontId="25" fillId="6" borderId="16" xfId="0" applyNumberFormat="1" applyFont="1" applyFill="1" applyBorder="1"/>
    <xf numFmtId="0" fontId="25" fillId="0" borderId="19" xfId="0" applyFont="1" applyFill="1" applyBorder="1"/>
    <xf numFmtId="9" fontId="25" fillId="5" borderId="24" xfId="0" applyNumberFormat="1" applyFont="1" applyFill="1" applyBorder="1"/>
    <xf numFmtId="0" fontId="24" fillId="6" borderId="19" xfId="0" applyFont="1" applyFill="1" applyBorder="1" applyAlignment="1">
      <alignment wrapText="1"/>
    </xf>
    <xf numFmtId="0" fontId="0" fillId="0" borderId="16" xfId="0" applyFont="1" applyBorder="1"/>
    <xf numFmtId="172" fontId="0" fillId="0" borderId="16" xfId="3" applyNumberFormat="1" applyFont="1" applyBorder="1"/>
    <xf numFmtId="0" fontId="0" fillId="0" borderId="16" xfId="0" applyFont="1" applyFill="1" applyBorder="1"/>
    <xf numFmtId="0" fontId="0" fillId="0" borderId="16" xfId="0" applyFont="1" applyBorder="1" applyAlignment="1">
      <alignment wrapText="1"/>
    </xf>
    <xf numFmtId="0" fontId="12" fillId="9" borderId="16" xfId="0" applyFont="1" applyFill="1" applyBorder="1"/>
    <xf numFmtId="0" fontId="12" fillId="10" borderId="16" xfId="0" applyFont="1" applyFill="1" applyBorder="1"/>
    <xf numFmtId="0" fontId="12" fillId="11" borderId="16" xfId="0" applyFont="1" applyFill="1" applyBorder="1"/>
    <xf numFmtId="0" fontId="13" fillId="10" borderId="11" xfId="0" applyFont="1" applyFill="1" applyBorder="1"/>
    <xf numFmtId="0" fontId="12" fillId="4" borderId="13" xfId="0" applyFont="1" applyFill="1" applyBorder="1"/>
    <xf numFmtId="43" fontId="12" fillId="4" borderId="13" xfId="0" applyNumberFormat="1" applyFont="1" applyFill="1" applyBorder="1"/>
    <xf numFmtId="3" fontId="25" fillId="5" borderId="16" xfId="3" applyNumberFormat="1" applyFont="1" applyFill="1" applyBorder="1" applyAlignment="1">
      <alignment horizontal="center"/>
    </xf>
    <xf numFmtId="0" fontId="24" fillId="0" borderId="16" xfId="0" applyFont="1" applyFill="1" applyBorder="1" applyAlignment="1">
      <alignment horizontal="center"/>
    </xf>
    <xf numFmtId="0" fontId="12" fillId="12" borderId="11" xfId="0" applyFont="1" applyFill="1" applyBorder="1" applyAlignment="1"/>
    <xf numFmtId="0" fontId="12" fillId="12" borderId="11" xfId="0" applyFont="1" applyFill="1" applyBorder="1"/>
    <xf numFmtId="0" fontId="27" fillId="7" borderId="26" xfId="0" applyFont="1" applyFill="1" applyBorder="1" applyAlignment="1">
      <alignment horizontal="center"/>
    </xf>
    <xf numFmtId="3" fontId="25" fillId="5" borderId="16" xfId="3" applyNumberFormat="1" applyFont="1" applyFill="1" applyBorder="1" applyAlignment="1">
      <alignment horizontal="center" vertical="center"/>
    </xf>
    <xf numFmtId="0" fontId="11" fillId="0" borderId="0" xfId="0" applyFont="1" applyAlignment="1">
      <alignment wrapText="1"/>
    </xf>
    <xf numFmtId="0" fontId="11" fillId="0" borderId="0" xfId="0" applyFont="1" applyAlignment="1">
      <alignment horizontal="right" wrapText="1"/>
    </xf>
    <xf numFmtId="0" fontId="11" fillId="0" borderId="0" xfId="0" applyFont="1" applyFill="1" applyAlignment="1">
      <alignment horizontal="right" wrapText="1"/>
    </xf>
    <xf numFmtId="0" fontId="30" fillId="0" borderId="0" xfId="0" applyFont="1" applyAlignment="1"/>
    <xf numFmtId="0" fontId="11" fillId="0" borderId="0" xfId="0" applyFont="1" applyAlignment="1">
      <alignment horizontal="right"/>
    </xf>
    <xf numFmtId="0" fontId="11" fillId="0" borderId="0" xfId="0" applyFont="1" applyFill="1" applyAlignment="1">
      <alignment horizontal="right"/>
    </xf>
    <xf numFmtId="0" fontId="11" fillId="0" borderId="0" xfId="0" applyFont="1" applyAlignment="1"/>
    <xf numFmtId="0" fontId="11" fillId="0" borderId="0" xfId="0" applyFont="1" applyFill="1" applyAlignment="1"/>
    <xf numFmtId="164" fontId="30" fillId="0" borderId="0" xfId="0" applyNumberFormat="1" applyFont="1" applyAlignment="1"/>
    <xf numFmtId="164" fontId="11" fillId="0" borderId="0" xfId="0" applyNumberFormat="1" applyFont="1" applyAlignment="1"/>
    <xf numFmtId="164" fontId="11" fillId="0" borderId="0" xfId="0" applyNumberFormat="1" applyFont="1" applyFill="1" applyAlignment="1"/>
    <xf numFmtId="165" fontId="11" fillId="0" borderId="0" xfId="0" applyNumberFormat="1" applyFont="1" applyFill="1" applyAlignment="1"/>
    <xf numFmtId="0" fontId="0" fillId="0" borderId="0" xfId="1" applyNumberFormat="1" applyFont="1"/>
    <xf numFmtId="172" fontId="12" fillId="9" borderId="16" xfId="0" applyNumberFormat="1" applyFont="1" applyFill="1" applyBorder="1" applyAlignment="1">
      <alignment horizontal="center"/>
    </xf>
    <xf numFmtId="0" fontId="12" fillId="13" borderId="16" xfId="0" applyFont="1" applyFill="1" applyBorder="1"/>
    <xf numFmtId="166" fontId="25" fillId="5" borderId="21" xfId="3" applyNumberFormat="1" applyFont="1" applyFill="1" applyBorder="1"/>
    <xf numFmtId="166" fontId="25" fillId="5" borderId="24" xfId="3" applyNumberFormat="1" applyFont="1" applyFill="1" applyBorder="1"/>
    <xf numFmtId="0" fontId="0" fillId="0" borderId="0" xfId="0" applyFont="1" applyAlignment="1">
      <alignment horizontal="left" wrapText="1" indent="1"/>
    </xf>
    <xf numFmtId="4" fontId="0" fillId="0" borderId="16" xfId="3" applyNumberFormat="1" applyFont="1" applyBorder="1"/>
    <xf numFmtId="10" fontId="0" fillId="0" borderId="11" xfId="1" applyNumberFormat="1" applyFont="1" applyBorder="1"/>
    <xf numFmtId="10" fontId="12" fillId="4" borderId="13" xfId="1" applyNumberFormat="1" applyFont="1" applyFill="1" applyBorder="1"/>
    <xf numFmtId="0" fontId="32" fillId="0" borderId="0" xfId="0" applyFont="1"/>
    <xf numFmtId="0" fontId="29" fillId="0" borderId="0" xfId="0" applyFont="1"/>
    <xf numFmtId="43" fontId="0" fillId="10" borderId="11" xfId="0" applyNumberFormat="1" applyFill="1" applyBorder="1"/>
    <xf numFmtId="10" fontId="0" fillId="10" borderId="11" xfId="1" applyNumberFormat="1" applyFont="1" applyFill="1" applyBorder="1"/>
    <xf numFmtId="0" fontId="24" fillId="6" borderId="17" xfId="0" applyFont="1" applyFill="1" applyBorder="1" applyAlignment="1">
      <alignment horizontal="center" wrapText="1"/>
    </xf>
    <xf numFmtId="0" fontId="24" fillId="6" borderId="21" xfId="0" applyFont="1" applyFill="1" applyBorder="1" applyAlignment="1">
      <alignment horizontal="center" wrapText="1"/>
    </xf>
    <xf numFmtId="0" fontId="27" fillId="7" borderId="17" xfId="0" applyFont="1" applyFill="1" applyBorder="1" applyAlignment="1">
      <alignment horizontal="center"/>
    </xf>
    <xf numFmtId="0" fontId="27" fillId="7" borderId="21" xfId="0" applyFont="1" applyFill="1" applyBorder="1" applyAlignment="1">
      <alignment horizontal="center"/>
    </xf>
    <xf numFmtId="0" fontId="27" fillId="7" borderId="20" xfId="0" applyFont="1" applyFill="1" applyBorder="1" applyAlignment="1">
      <alignment horizontal="center"/>
    </xf>
    <xf numFmtId="0" fontId="28" fillId="7" borderId="0" xfId="0" applyFont="1" applyFill="1" applyAlignment="1">
      <alignment horizontal="center" wrapText="1"/>
    </xf>
    <xf numFmtId="0" fontId="28" fillId="8" borderId="0" xfId="0" applyFont="1" applyFill="1" applyAlignment="1">
      <alignment horizontal="center" wrapText="1"/>
    </xf>
    <xf numFmtId="0" fontId="28" fillId="8" borderId="0" xfId="0" applyFont="1" applyFill="1" applyAlignment="1">
      <alignment horizontal="center"/>
    </xf>
    <xf numFmtId="0" fontId="29" fillId="8" borderId="0" xfId="0" applyFont="1" applyFill="1" applyAlignment="1">
      <alignment horizont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1" xfId="0" applyFont="1" applyFill="1" applyBorder="1" applyAlignment="1">
      <alignment horizontal="center"/>
    </xf>
    <xf numFmtId="0" fontId="0" fillId="0" borderId="11" xfId="0" applyBorder="1" applyAlignment="1">
      <alignment horizontal="left" vertical="top"/>
    </xf>
    <xf numFmtId="3" fontId="7" fillId="0" borderId="2" xfId="2" applyNumberFormat="1" applyFont="1" applyBorder="1" applyAlignment="1">
      <alignment horizontal="center" vertical="center" wrapText="1"/>
    </xf>
    <xf numFmtId="3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left" vertical="center" wrapText="1" indent="2"/>
    </xf>
    <xf numFmtId="0" fontId="3" fillId="0" borderId="0" xfId="2" applyFont="1" applyAlignment="1">
      <alignment horizontal="center" vertical="center" wrapText="1"/>
    </xf>
    <xf numFmtId="0" fontId="7" fillId="0" borderId="0" xfId="2" applyFont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20" fillId="0" borderId="14" xfId="5" applyFont="1" applyFill="1" applyBorder="1" applyAlignment="1">
      <alignment horizontal="center" wrapText="1"/>
    </xf>
  </cellXfs>
  <cellStyles count="6">
    <cellStyle name="Comma" xfId="4" builtinId="3"/>
    <cellStyle name="Currency" xfId="3" builtinId="4"/>
    <cellStyle name="Normal" xfId="0" builtinId="0"/>
    <cellStyle name="Normal 2" xfId="2"/>
    <cellStyle name="Normal 3" xfId="5"/>
    <cellStyle name="Percent" xfId="1" builtinId="5"/>
  </cellStyles>
  <dxfs count="0"/>
  <tableStyles count="0" defaultTableStyle="TableStyleMedium2" defaultPivotStyle="PivotStyleLight16"/>
  <colors>
    <mruColors>
      <color rgb="FFCCECFF"/>
      <color rgb="FFCCCCFF"/>
      <color rgb="FFFFCCCC"/>
      <color rgb="FFCCFF99"/>
      <color rgb="FF99FFCC"/>
      <color rgb="FF00CC99"/>
      <color rgb="FF009999"/>
      <color rgb="FFFFCC66"/>
      <color rgb="FFCC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Total Economic Costs vs Total Economic Benefits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'Summary Sheet'!$C$18</c:f>
              <c:strCache>
                <c:ptCount val="1"/>
                <c:pt idx="0">
                  <c:v>Total Economic Benefits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'Summary Sheet'!$D$18</c:f>
              <c:numCache>
                <c:formatCode>"$"#,##0</c:formatCode>
                <c:ptCount val="1"/>
                <c:pt idx="0">
                  <c:v>16632917.117530763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0-43B1-B962-80B383EE25A9}"/>
            </c:ext>
          </c:extLst>
        </c:ser>
        <c:ser>
          <c:idx val="1"/>
          <c:order val="1"/>
          <c:tx>
            <c:strRef>
              <c:f>'Summary Sheet'!$C$8</c:f>
              <c:strCache>
                <c:ptCount val="1"/>
                <c:pt idx="0">
                  <c:v>Total Economic Costs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'Summary Sheet'!$D$8</c:f>
              <c:numCache>
                <c:formatCode>"$"#,##0</c:formatCode>
                <c:ptCount val="1"/>
                <c:pt idx="0">
                  <c:v>26851052.258185081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0-43B1-B962-80B383EE25A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641297936"/>
        <c:axId val="641298264"/>
      </c:barChart>
      <c:catAx>
        <c:axId val="6412979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298264"/>
        <c:crosses val="autoZero"/>
        <c:auto val="1"/>
        <c:lblAlgn val="ctr"/>
        <c:lblOffset val="100"/>
        <c:noMultiLvlLbl val="0"/>
      </c:catAx>
      <c:valAx>
        <c:axId val="641298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29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Benefit Cost Ratio (BCR)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'Summary Sheet'!$C$22</c:f>
              <c:strCache>
                <c:ptCount val="1"/>
                <c:pt idx="0">
                  <c:v>Benefit Cost Ratio (BCR)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'Summary Sheet'!$D$22</c:f>
              <c:numCache>
                <c:formatCode>#,##0.00</c:formatCode>
                <c:ptCount val="1"/>
                <c:pt idx="0">
                  <c:v>0.61945122141202136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2-4A46-AD9A-9A1705BE27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5659600"/>
        <c:axId val="595657632"/>
      </c:barChart>
      <c:catAx>
        <c:axId val="595659600"/>
        <c:scaling>
          <c:orientation val="minMax"/>
        </c:scaling>
        <c:delete val="1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Benefit Cost Ratio (BCR)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crossAx val="595657632"/>
        <c:crosses val="autoZero"/>
        <c:auto val="1"/>
        <c:lblAlgn val="ctr"/>
        <c:lblOffset val="100"/>
        <c:noMultiLvlLbl val="0"/>
      </c:catAx>
      <c:valAx>
        <c:axId val="595657632"/>
        <c:scaling>
          <c:orientation val="minMax"/>
        </c:scaling>
        <c:delete val="0"/>
        <c:axPos val="b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5659600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 sz="1000"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Roughness (IRI) change over time - straight line</a:t>
            </a:r>
            <a:r>
              <a:rPr lang="en-AU" baseline="0"/>
              <a:t> change</a:t>
            </a:r>
            <a:endParaRPr lang="en-AU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'VOC - IRI change over time'!$C$22:$C$54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'VOC - IRI change over time'!$D$22:$D$54</c:f>
              <c:numCache>
                <c:formatCode>General</c:formatCode>
                <c:ptCount val="33"/>
                <c:pt idx="0">
                  <c:v>2</c:v>
                </c:pt>
                <c:pt idx="1">
                  <c:v>2.1379310344827585</c:v>
                </c:pt>
                <c:pt idx="2">
                  <c:v>2.2758620689655169</c:v>
                </c:pt>
                <c:pt idx="3">
                  <c:v>2.4137931034482754</c:v>
                </c:pt>
                <c:pt idx="4">
                  <c:v>2.5517241379310338</c:v>
                </c:pt>
                <c:pt idx="5">
                  <c:v>2.6896551724137923</c:v>
                </c:pt>
                <c:pt idx="6">
                  <c:v>2.8275862068965507</c:v>
                </c:pt>
                <c:pt idx="7">
                  <c:v>2.9655172413793092</c:v>
                </c:pt>
                <c:pt idx="8">
                  <c:v>3.1034482758620676</c:v>
                </c:pt>
                <c:pt idx="9">
                  <c:v>3.2413793103448261</c:v>
                </c:pt>
                <c:pt idx="10">
                  <c:v>3.3793103448275845</c:v>
                </c:pt>
                <c:pt idx="11">
                  <c:v>3.517241379310343</c:v>
                </c:pt>
                <c:pt idx="12">
                  <c:v>3.6551724137931014</c:v>
                </c:pt>
                <c:pt idx="13">
                  <c:v>3.7931034482758599</c:v>
                </c:pt>
                <c:pt idx="14">
                  <c:v>3.9310344827586183</c:v>
                </c:pt>
                <c:pt idx="15">
                  <c:v>4.0689655172413772</c:v>
                </c:pt>
                <c:pt idx="16">
                  <c:v>4.2068965517241361</c:v>
                </c:pt>
                <c:pt idx="17">
                  <c:v>4.344827586206895</c:v>
                </c:pt>
                <c:pt idx="18">
                  <c:v>4.4827586206896539</c:v>
                </c:pt>
                <c:pt idx="19">
                  <c:v>4.6206896551724128</c:v>
                </c:pt>
                <c:pt idx="20">
                  <c:v>4.7586206896551717</c:v>
                </c:pt>
                <c:pt idx="21">
                  <c:v>4.8965517241379306</c:v>
                </c:pt>
                <c:pt idx="22">
                  <c:v>5.0344827586206895</c:v>
                </c:pt>
                <c:pt idx="23">
                  <c:v>5.1724137931034484</c:v>
                </c:pt>
                <c:pt idx="24">
                  <c:v>5.3103448275862073</c:v>
                </c:pt>
                <c:pt idx="25">
                  <c:v>5.4482758620689662</c:v>
                </c:pt>
                <c:pt idx="26">
                  <c:v>5.5862068965517251</c:v>
                </c:pt>
                <c:pt idx="27">
                  <c:v>5.724137931034484</c:v>
                </c:pt>
                <c:pt idx="28">
                  <c:v>5.8620689655172429</c:v>
                </c:pt>
                <c:pt idx="29">
                  <c:v>6.0000000000000018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CF2-4510-AED2-C0D22C266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965888"/>
        <c:axId val="746992048"/>
      </c:scatterChart>
      <c:valAx>
        <c:axId val="6089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92048"/>
        <c:crosses val="autoZero"/>
        <c:crossBetween val="midCat"/>
      </c:valAx>
      <c:valAx>
        <c:axId val="7469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Roughness (IRI) change over time - gradual continuous</a:t>
            </a:r>
            <a:r>
              <a:rPr lang="en-US" baseline="0"/>
              <a:t> change - Ae^(rt)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'VOC - IRI change over time'!$C$22:$C$54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'VOC - IRI change over time'!$F$22:$F$54</c:f>
              <c:numCache>
                <c:formatCode>General</c:formatCode>
                <c:ptCount val="33"/>
                <c:pt idx="0">
                  <c:v>2</c:v>
                </c:pt>
                <c:pt idx="1">
                  <c:v>2.0772197956852456</c:v>
                </c:pt>
                <c:pt idx="2">
                  <c:v>2.1574210397933271</c:v>
                </c:pt>
                <c:pt idx="3">
                  <c:v>2.2407188457432725</c:v>
                </c:pt>
                <c:pt idx="4">
                  <c:v>2.32723277147146</c:v>
                </c:pt>
                <c:pt idx="5">
                  <c:v>2.4170869910339774</c:v>
                </c:pt>
                <c:pt idx="6">
                  <c:v>2.5104104728345318</c:v>
                </c:pt>
                <c:pt idx="7">
                  <c:v>2.6073371647337238</c:v>
                </c:pt>
                <c:pt idx="8">
                  <c:v>2.7080061863053668</c:v>
                </c:pt>
                <c:pt idx="9">
                  <c:v>2.8125620285158077</c:v>
                </c:pt>
                <c:pt idx="10">
                  <c:v>2.921154761112843</c:v>
                </c:pt>
                <c:pt idx="11">
                  <c:v>3.0339402480219015</c:v>
                </c:pt>
                <c:pt idx="12">
                  <c:v>3.1510803710586486</c:v>
                </c:pt>
                <c:pt idx="13">
                  <c:v>3.2727432622791173</c:v>
                </c:pt>
                <c:pt idx="14">
                  <c:v>3.3991035453008465</c:v>
                </c:pt>
                <c:pt idx="15">
                  <c:v>3.5303425859414093</c:v>
                </c:pt>
                <c:pt idx="16">
                  <c:v>3.6666487525340679</c:v>
                </c:pt>
                <c:pt idx="17">
                  <c:v>3.808217686294189</c:v>
                </c:pt>
                <c:pt idx="18">
                  <c:v>3.9552525821244773</c:v>
                </c:pt>
                <c:pt idx="19">
                  <c:v>4.1079644802620736</c:v>
                </c:pt>
                <c:pt idx="20">
                  <c:v>4.266572569186116</c:v>
                </c:pt>
                <c:pt idx="21">
                  <c:v>4.431304500220528</c:v>
                </c:pt>
                <c:pt idx="22">
                  <c:v>4.6023967142835982</c:v>
                </c:pt>
                <c:pt idx="23">
                  <c:v>4.780094781253311</c:v>
                </c:pt>
                <c:pt idx="24">
                  <c:v>4.9646537524355558</c:v>
                </c:pt>
                <c:pt idx="25">
                  <c:v>5.156338526641087</c:v>
                </c:pt>
                <c:pt idx="26">
                  <c:v>5.3554242303966797</c:v>
                </c:pt>
                <c:pt idx="27">
                  <c:v>5.5621966128362033</c:v>
                </c:pt>
                <c:pt idx="28">
                  <c:v>5.7769524558383916</c:v>
                </c:pt>
                <c:pt idx="29">
                  <c:v>6.0000000000000009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B6D-4E73-BB59-8024DC1EA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965888"/>
        <c:axId val="746992048"/>
      </c:scatterChart>
      <c:valAx>
        <c:axId val="6089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92048"/>
        <c:crosses val="autoZero"/>
        <c:crossBetween val="midCat"/>
      </c:valAx>
      <c:valAx>
        <c:axId val="7469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Roughness (IRI) change over time </a:t>
            </a:r>
            <a:r>
              <a:rPr lang="en-US" sz="1400" b="0" i="0" u="none" strike="noStrike" baseline="0">
                <a:effectLst/>
              </a:rPr>
              <a:t>- gradual continuous change - Ae^(rt)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'VOC - IRI change over time'!$C$22:$C$54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'VOC - IRI change over time'!$G$22:$G$54</c:f>
              <c:numCache>
                <c:formatCode>General</c:formatCode>
                <c:ptCount val="33"/>
                <c:pt idx="0">
                  <c:v>6</c:v>
                </c:pt>
                <c:pt idx="1">
                  <c:v>5.7769524558383907</c:v>
                </c:pt>
                <c:pt idx="2">
                  <c:v>5.5621966128362024</c:v>
                </c:pt>
                <c:pt idx="3">
                  <c:v>5.3554242303966788</c:v>
                </c:pt>
                <c:pt idx="4">
                  <c:v>5.1563385266410862</c:v>
                </c:pt>
                <c:pt idx="5">
                  <c:v>4.964653752435555</c:v>
                </c:pt>
                <c:pt idx="6">
                  <c:v>4.7800947812533101</c:v>
                </c:pt>
                <c:pt idx="7">
                  <c:v>4.6023967142835973</c:v>
                </c:pt>
                <c:pt idx="8">
                  <c:v>4.431304500220528</c:v>
                </c:pt>
                <c:pt idx="9">
                  <c:v>4.2665725691861152</c:v>
                </c:pt>
                <c:pt idx="10">
                  <c:v>4.1079644802620727</c:v>
                </c:pt>
                <c:pt idx="11">
                  <c:v>3.9552525821244764</c:v>
                </c:pt>
                <c:pt idx="12">
                  <c:v>3.8082176862941886</c:v>
                </c:pt>
                <c:pt idx="13">
                  <c:v>3.6666487525340674</c:v>
                </c:pt>
                <c:pt idx="14">
                  <c:v>3.5303425859414088</c:v>
                </c:pt>
                <c:pt idx="15">
                  <c:v>3.3991035453008456</c:v>
                </c:pt>
                <c:pt idx="16">
                  <c:v>3.2727432622791168</c:v>
                </c:pt>
                <c:pt idx="17">
                  <c:v>3.1510803710586481</c:v>
                </c:pt>
                <c:pt idx="18">
                  <c:v>3.0339402480219011</c:v>
                </c:pt>
                <c:pt idx="19">
                  <c:v>2.9211547611128426</c:v>
                </c:pt>
                <c:pt idx="20">
                  <c:v>2.8125620285158073</c:v>
                </c:pt>
                <c:pt idx="21">
                  <c:v>2.7080061863053659</c:v>
                </c:pt>
                <c:pt idx="22">
                  <c:v>2.6073371647337229</c:v>
                </c:pt>
                <c:pt idx="23">
                  <c:v>2.5104104728345318</c:v>
                </c:pt>
                <c:pt idx="24">
                  <c:v>2.417086991033977</c:v>
                </c:pt>
                <c:pt idx="25">
                  <c:v>2.3272327714714596</c:v>
                </c:pt>
                <c:pt idx="26">
                  <c:v>2.2407188457432721</c:v>
                </c:pt>
                <c:pt idx="27">
                  <c:v>2.1574210397933262</c:v>
                </c:pt>
                <c:pt idx="28">
                  <c:v>2.0772197956852452</c:v>
                </c:pt>
                <c:pt idx="29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997-4A90-ADC8-CBACCFB92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965888"/>
        <c:axId val="746992048"/>
      </c:scatterChart>
      <c:valAx>
        <c:axId val="6089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92048"/>
        <c:crosses val="autoZero"/>
        <c:crossBetween val="midCat"/>
      </c:valAx>
      <c:valAx>
        <c:axId val="7469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Roughness (IRI) change over time - straight line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'VOC - IRI change over time'!$C$22:$C$54</c:f>
              <c:numCache>
                <c:formatCode>General</c:formatCod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</c:numCache>
            </c:numRef>
          </c:xVal>
          <c:yVal>
            <c:numRef>
              <c:f>'VOC - IRI change over time'!$E$22:$E$54</c:f>
              <c:numCache>
                <c:formatCode>General</c:formatCode>
                <c:ptCount val="33"/>
                <c:pt idx="0">
                  <c:v>6</c:v>
                </c:pt>
                <c:pt idx="1">
                  <c:v>5.8620689655172411</c:v>
                </c:pt>
                <c:pt idx="2">
                  <c:v>5.7241379310344822</c:v>
                </c:pt>
                <c:pt idx="3">
                  <c:v>5.5862068965517233</c:v>
                </c:pt>
                <c:pt idx="4">
                  <c:v>5.4482758620689644</c:v>
                </c:pt>
                <c:pt idx="5">
                  <c:v>5.3103448275862055</c:v>
                </c:pt>
                <c:pt idx="6">
                  <c:v>5.1724137931034466</c:v>
                </c:pt>
                <c:pt idx="7">
                  <c:v>5.0344827586206877</c:v>
                </c:pt>
                <c:pt idx="8">
                  <c:v>4.8965517241379288</c:v>
                </c:pt>
                <c:pt idx="9">
                  <c:v>4.7586206896551699</c:v>
                </c:pt>
                <c:pt idx="10">
                  <c:v>4.620689655172411</c:v>
                </c:pt>
                <c:pt idx="11">
                  <c:v>4.4827586206896521</c:v>
                </c:pt>
                <c:pt idx="12">
                  <c:v>4.3448275862068932</c:v>
                </c:pt>
                <c:pt idx="13">
                  <c:v>4.2068965517241343</c:v>
                </c:pt>
                <c:pt idx="14">
                  <c:v>4.0689655172413755</c:v>
                </c:pt>
                <c:pt idx="15">
                  <c:v>3.931034482758617</c:v>
                </c:pt>
                <c:pt idx="16">
                  <c:v>3.7931034482758585</c:v>
                </c:pt>
                <c:pt idx="17">
                  <c:v>3.6551724137931001</c:v>
                </c:pt>
                <c:pt idx="18">
                  <c:v>3.5172413793103416</c:v>
                </c:pt>
                <c:pt idx="19">
                  <c:v>3.3793103448275832</c:v>
                </c:pt>
                <c:pt idx="20">
                  <c:v>3.2413793103448247</c:v>
                </c:pt>
                <c:pt idx="21">
                  <c:v>3.1034482758620663</c:v>
                </c:pt>
                <c:pt idx="22">
                  <c:v>2.9655172413793078</c:v>
                </c:pt>
                <c:pt idx="23">
                  <c:v>2.8275862068965494</c:v>
                </c:pt>
                <c:pt idx="24">
                  <c:v>2.6896551724137909</c:v>
                </c:pt>
                <c:pt idx="25">
                  <c:v>2.5517241379310325</c:v>
                </c:pt>
                <c:pt idx="26">
                  <c:v>2.413793103448274</c:v>
                </c:pt>
                <c:pt idx="27">
                  <c:v>2.2758620689655156</c:v>
                </c:pt>
                <c:pt idx="28">
                  <c:v>2.1379310344827571</c:v>
                </c:pt>
                <c:pt idx="29">
                  <c:v>1.9999999999999984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BB-405A-AACC-1676DB5F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08965888"/>
        <c:axId val="746992048"/>
      </c:scatterChart>
      <c:valAx>
        <c:axId val="608965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Year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6992048"/>
        <c:crosses val="autoZero"/>
        <c:crossBetween val="midCat"/>
      </c:valAx>
      <c:valAx>
        <c:axId val="74699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896588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4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5</xdr:col>
      <xdr:colOff>400050</xdr:colOff>
      <xdr:row>38</xdr:row>
      <xdr:rowOff>76200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41</xdr:row>
      <xdr:rowOff>0</xdr:rowOff>
    </xdr:from>
    <xdr:to>
      <xdr:col>5</xdr:col>
      <xdr:colOff>400050</xdr:colOff>
      <xdr:row>55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22</xdr:row>
      <xdr:rowOff>9525</xdr:rowOff>
    </xdr:from>
    <xdr:to>
      <xdr:col>19</xdr:col>
      <xdr:colOff>333375</xdr:colOff>
      <xdr:row>36</xdr:row>
      <xdr:rowOff>85725</xdr:rowOff>
    </xdr:to>
    <xdr:graphicFrame macro="">
      <xdr:nvGraphicFramePr>
        <xdr:cNvPr id="13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39</xdr:row>
      <xdr:rowOff>0</xdr:rowOff>
    </xdr:from>
    <xdr:to>
      <xdr:col>19</xdr:col>
      <xdr:colOff>304800</xdr:colOff>
      <xdr:row>53</xdr:row>
      <xdr:rowOff>76200</xdr:rowOff>
    </xdr:to>
    <xdr:graphicFrame macro="">
      <xdr:nvGraphicFramePr>
        <xdr:cNvPr id="14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39</xdr:row>
      <xdr:rowOff>0</xdr:rowOff>
    </xdr:from>
    <xdr:to>
      <xdr:col>28</xdr:col>
      <xdr:colOff>304800</xdr:colOff>
      <xdr:row>53</xdr:row>
      <xdr:rowOff>76200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0</xdr:colOff>
      <xdr:row>22</xdr:row>
      <xdr:rowOff>0</xdr:rowOff>
    </xdr:from>
    <xdr:to>
      <xdr:col>28</xdr:col>
      <xdr:colOff>304800</xdr:colOff>
      <xdr:row>36</xdr:row>
      <xdr:rowOff>76200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76200</xdr:rowOff>
    </xdr:from>
    <xdr:to>
      <xdr:col>11</xdr:col>
      <xdr:colOff>27809</xdr:colOff>
      <xdr:row>58</xdr:row>
      <xdr:rowOff>65652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33700" y="2933700"/>
          <a:ext cx="6123809" cy="818095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0</xdr:col>
      <xdr:colOff>1730567</xdr:colOff>
      <xdr:row>36</xdr:row>
      <xdr:rowOff>39188</xdr:rowOff>
    </xdr:to>
    <xdr:pic>
      <xdr:nvPicPr>
        <xdr:cNvPr id="2" name="Picture"/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058025"/>
          <a:ext cx="1721042" cy="61068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809625</xdr:colOff>
      <xdr:row>0</xdr:row>
      <xdr:rowOff>838200</xdr:rowOff>
    </xdr:to>
    <xdr:pic>
      <xdr:nvPicPr>
        <xdr:cNvPr id="2" name="Picture 3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7625"/>
          <a:ext cx="7620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NBII/MIPO/Project%20Review-Cost%20Est/(11)%20Cost%20Benefit%20Analysis/ABS%20-%20Motor%20Vehicle%20Census%20-%2093090do001_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_1"/>
      <sheetName val="Passenger vs Commercial Vehicle"/>
      <sheetName val="Table_2"/>
      <sheetName val="Table_3"/>
      <sheetName val="Table_4"/>
      <sheetName val="Table_5"/>
      <sheetName val="Table_6"/>
      <sheetName val="Table_7"/>
      <sheetName val="Table_8"/>
      <sheetName val="Table_9"/>
    </sheetNames>
    <sheetDataSet>
      <sheetData sheetId="0"/>
      <sheetData sheetId="1">
        <row r="10">
          <cell r="A10">
            <v>2019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60"/>
  <sheetViews>
    <sheetView workbookViewId="0">
      <selection activeCell="E7" sqref="E7"/>
    </sheetView>
    <sheetView workbookViewId="1"/>
  </sheetViews>
  <sheetFormatPr defaultRowHeight="12.75" x14ac:dyDescent="0.2"/>
  <cols>
    <col min="1" max="2" width="9.140625" style="98"/>
    <col min="3" max="3" width="65.7109375" style="98" bestFit="1" customWidth="1"/>
    <col min="4" max="4" width="45.7109375" style="98" bestFit="1" customWidth="1"/>
    <col min="5" max="5" width="14.5703125" style="98" bestFit="1" customWidth="1"/>
    <col min="6" max="8" width="10.140625" style="98" customWidth="1"/>
    <col min="9" max="9" width="20" style="98" bestFit="1" customWidth="1"/>
    <col min="10" max="10" width="20" style="98" customWidth="1"/>
    <col min="11" max="11" width="10.140625" style="98" customWidth="1"/>
    <col min="12" max="13" width="20" style="98" customWidth="1"/>
    <col min="14" max="44" width="9.140625" style="98" customWidth="1"/>
    <col min="45" max="16384" width="9.140625" style="98"/>
  </cols>
  <sheetData>
    <row r="1" spans="2:39" s="108" customFormat="1" ht="15.75" customHeight="1" x14ac:dyDescent="0.25">
      <c r="C1" s="206" t="s">
        <v>442</v>
      </c>
      <c r="D1" s="206"/>
      <c r="E1" s="206"/>
      <c r="F1" s="206"/>
      <c r="G1" s="206"/>
      <c r="H1" s="206"/>
      <c r="I1" s="206"/>
      <c r="J1" s="206"/>
      <c r="K1" s="206"/>
      <c r="L1" s="206"/>
      <c r="M1" s="206"/>
    </row>
    <row r="4" spans="2:39" ht="15" x14ac:dyDescent="0.25">
      <c r="C4" s="174" t="s">
        <v>361</v>
      </c>
      <c r="D4" s="145" t="s">
        <v>140</v>
      </c>
      <c r="E4" s="203" t="s">
        <v>127</v>
      </c>
      <c r="F4" s="205"/>
      <c r="G4" s="204"/>
      <c r="I4" s="203" t="s">
        <v>362</v>
      </c>
      <c r="J4" s="204"/>
      <c r="L4" s="203" t="s">
        <v>363</v>
      </c>
      <c r="M4" s="204"/>
    </row>
    <row r="5" spans="2:39" ht="15" customHeight="1" x14ac:dyDescent="0.2">
      <c r="C5" s="144"/>
      <c r="D5" s="99"/>
      <c r="E5" s="99"/>
      <c r="F5" s="97"/>
      <c r="G5" s="118"/>
      <c r="I5" s="117"/>
      <c r="J5" s="118"/>
      <c r="L5" s="117"/>
      <c r="M5" s="118"/>
    </row>
    <row r="6" spans="2:39" ht="12.75" customHeight="1" x14ac:dyDescent="0.2">
      <c r="C6" s="119" t="s">
        <v>291</v>
      </c>
      <c r="D6" s="147" t="s">
        <v>291</v>
      </c>
      <c r="E6" s="148"/>
      <c r="F6" s="149"/>
      <c r="G6" s="150"/>
      <c r="I6" s="201" t="s">
        <v>293</v>
      </c>
      <c r="J6" s="202"/>
      <c r="L6" s="201" t="s">
        <v>294</v>
      </c>
      <c r="M6" s="202"/>
    </row>
    <row r="7" spans="2:39" ht="15" customHeight="1" x14ac:dyDescent="0.2">
      <c r="C7" s="116" t="s">
        <v>318</v>
      </c>
      <c r="D7" s="140" t="s">
        <v>287</v>
      </c>
      <c r="E7" s="141">
        <v>0.04</v>
      </c>
      <c r="F7" s="97"/>
      <c r="G7" s="118"/>
      <c r="I7" s="114" t="s">
        <v>87</v>
      </c>
      <c r="J7" s="171" t="s">
        <v>290</v>
      </c>
      <c r="L7" s="114" t="s">
        <v>87</v>
      </c>
      <c r="M7" s="171" t="s">
        <v>290</v>
      </c>
    </row>
    <row r="8" spans="2:39" ht="15" customHeight="1" x14ac:dyDescent="0.2">
      <c r="B8" s="118"/>
      <c r="C8" s="97" t="s">
        <v>139</v>
      </c>
      <c r="D8" s="97"/>
      <c r="E8" s="97"/>
      <c r="F8" s="97"/>
      <c r="G8" s="118"/>
      <c r="I8" s="115">
        <v>1</v>
      </c>
      <c r="J8" s="175">
        <v>0</v>
      </c>
      <c r="L8" s="115">
        <v>1</v>
      </c>
      <c r="M8" s="170">
        <v>403558</v>
      </c>
    </row>
    <row r="9" spans="2:39" ht="15" customHeight="1" x14ac:dyDescent="0.2">
      <c r="C9" s="119" t="s">
        <v>143</v>
      </c>
      <c r="D9" s="142" t="s">
        <v>143</v>
      </c>
      <c r="E9" s="110"/>
      <c r="F9" s="123"/>
      <c r="G9" s="122"/>
      <c r="I9" s="115">
        <v>2</v>
      </c>
      <c r="J9" s="175">
        <v>0</v>
      </c>
      <c r="L9" s="115">
        <v>2</v>
      </c>
      <c r="M9" s="170">
        <v>403558</v>
      </c>
    </row>
    <row r="10" spans="2:39" ht="15" customHeight="1" x14ac:dyDescent="0.2">
      <c r="C10" s="116" t="s">
        <v>335</v>
      </c>
      <c r="D10" s="140" t="s">
        <v>146</v>
      </c>
      <c r="E10" s="192">
        <v>23400000</v>
      </c>
      <c r="F10" s="120"/>
      <c r="G10" s="121"/>
      <c r="I10" s="115">
        <v>3</v>
      </c>
      <c r="J10" s="175">
        <v>0</v>
      </c>
      <c r="K10" s="101"/>
      <c r="L10" s="115">
        <v>3</v>
      </c>
      <c r="M10" s="170">
        <v>403558</v>
      </c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</row>
    <row r="11" spans="2:39" x14ac:dyDescent="0.2">
      <c r="B11" s="118"/>
      <c r="C11" s="97"/>
      <c r="D11" s="97"/>
      <c r="E11" s="97"/>
      <c r="F11" s="120"/>
      <c r="G11" s="121"/>
      <c r="I11" s="115">
        <v>4</v>
      </c>
      <c r="J11" s="175">
        <v>0</v>
      </c>
      <c r="K11" s="101"/>
      <c r="L11" s="115">
        <v>4</v>
      </c>
      <c r="M11" s="170">
        <v>403558</v>
      </c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</row>
    <row r="12" spans="2:39" x14ac:dyDescent="0.2">
      <c r="C12" s="142" t="s">
        <v>144</v>
      </c>
      <c r="D12" s="109" t="s">
        <v>144</v>
      </c>
      <c r="E12" s="111"/>
      <c r="F12" s="111"/>
      <c r="G12" s="122"/>
      <c r="I12" s="115">
        <v>5</v>
      </c>
      <c r="J12" s="175">
        <v>0</v>
      </c>
      <c r="K12" s="101"/>
      <c r="L12" s="115">
        <v>5</v>
      </c>
      <c r="M12" s="170">
        <v>403558</v>
      </c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</row>
    <row r="13" spans="2:39" x14ac:dyDescent="0.2">
      <c r="C13" s="116" t="s">
        <v>319</v>
      </c>
      <c r="D13" s="116" t="s">
        <v>147</v>
      </c>
      <c r="E13" s="191">
        <v>0</v>
      </c>
      <c r="F13" s="120"/>
      <c r="G13" s="118"/>
      <c r="I13" s="115">
        <v>6</v>
      </c>
      <c r="J13" s="175">
        <v>0</v>
      </c>
      <c r="L13" s="115">
        <v>6</v>
      </c>
      <c r="M13" s="170">
        <v>403558</v>
      </c>
      <c r="AM13" s="101"/>
    </row>
    <row r="14" spans="2:39" x14ac:dyDescent="0.2">
      <c r="B14" s="118"/>
      <c r="C14" s="97"/>
      <c r="D14" s="97"/>
      <c r="E14" s="102"/>
      <c r="F14" s="120"/>
      <c r="G14" s="121"/>
      <c r="I14" s="115">
        <v>7</v>
      </c>
      <c r="J14" s="175">
        <v>0</v>
      </c>
      <c r="K14" s="101"/>
      <c r="L14" s="115">
        <v>7</v>
      </c>
      <c r="M14" s="170">
        <v>403558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</row>
    <row r="15" spans="2:39" x14ac:dyDescent="0.2">
      <c r="C15" s="142" t="s">
        <v>283</v>
      </c>
      <c r="D15" s="109" t="s">
        <v>110</v>
      </c>
      <c r="E15" s="110"/>
      <c r="F15" s="123"/>
      <c r="G15" s="122"/>
      <c r="I15" s="115">
        <v>8</v>
      </c>
      <c r="J15" s="175">
        <v>0</v>
      </c>
      <c r="K15" s="101"/>
      <c r="L15" s="115">
        <v>8</v>
      </c>
      <c r="M15" s="170">
        <v>403558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</row>
    <row r="16" spans="2:39" x14ac:dyDescent="0.2">
      <c r="C16" s="116" t="s">
        <v>337</v>
      </c>
      <c r="D16" s="116" t="s">
        <v>336</v>
      </c>
      <c r="E16" s="134">
        <v>80</v>
      </c>
      <c r="F16" s="124"/>
      <c r="G16" s="121"/>
      <c r="I16" s="115">
        <v>9</v>
      </c>
      <c r="J16" s="175">
        <v>0</v>
      </c>
      <c r="K16" s="101"/>
      <c r="L16" s="115">
        <v>9</v>
      </c>
      <c r="M16" s="170">
        <v>403558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</row>
    <row r="17" spans="3:44" x14ac:dyDescent="0.2">
      <c r="C17" s="116" t="s">
        <v>443</v>
      </c>
      <c r="D17" s="116" t="s">
        <v>116</v>
      </c>
      <c r="E17" s="133">
        <v>0.25</v>
      </c>
      <c r="F17" s="124"/>
      <c r="G17" s="125"/>
      <c r="I17" s="115">
        <v>10</v>
      </c>
      <c r="J17" s="175">
        <v>0</v>
      </c>
      <c r="K17" s="103"/>
      <c r="L17" s="115">
        <v>10</v>
      </c>
      <c r="M17" s="170">
        <v>403558</v>
      </c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</row>
    <row r="18" spans="3:44" x14ac:dyDescent="0.2">
      <c r="C18" s="116" t="s">
        <v>338</v>
      </c>
      <c r="D18" s="116" t="s">
        <v>138</v>
      </c>
      <c r="E18" s="135">
        <v>0.02</v>
      </c>
      <c r="F18" s="126"/>
      <c r="G18" s="125"/>
      <c r="I18" s="115">
        <v>11</v>
      </c>
      <c r="J18" s="175">
        <v>0</v>
      </c>
      <c r="K18" s="103"/>
      <c r="L18" s="115">
        <v>11</v>
      </c>
      <c r="M18" s="170">
        <v>403558</v>
      </c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</row>
    <row r="19" spans="3:44" x14ac:dyDescent="0.2">
      <c r="C19" s="116" t="s">
        <v>339</v>
      </c>
      <c r="D19" s="116" t="s">
        <v>130</v>
      </c>
      <c r="E19" s="136">
        <v>41</v>
      </c>
      <c r="F19" s="126"/>
      <c r="G19" s="127"/>
      <c r="I19" s="115">
        <v>12</v>
      </c>
      <c r="J19" s="175">
        <v>0</v>
      </c>
      <c r="K19" s="104"/>
      <c r="L19" s="115">
        <v>12</v>
      </c>
      <c r="M19" s="170">
        <v>403558</v>
      </c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P19" s="103"/>
      <c r="AQ19" s="103"/>
      <c r="AR19" s="103"/>
    </row>
    <row r="20" spans="3:44" x14ac:dyDescent="0.2">
      <c r="C20" s="116" t="s">
        <v>340</v>
      </c>
      <c r="D20" s="116" t="s">
        <v>324</v>
      </c>
      <c r="E20" s="136">
        <v>60</v>
      </c>
      <c r="F20" s="97"/>
      <c r="G20" s="127"/>
      <c r="I20" s="115">
        <v>13</v>
      </c>
      <c r="J20" s="175">
        <v>0</v>
      </c>
      <c r="K20" s="104"/>
      <c r="L20" s="115">
        <v>13</v>
      </c>
      <c r="M20" s="170">
        <v>403558</v>
      </c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P20" s="103"/>
      <c r="AQ20" s="103"/>
      <c r="AR20" s="103"/>
    </row>
    <row r="21" spans="3:44" x14ac:dyDescent="0.2">
      <c r="C21" s="116" t="s">
        <v>320</v>
      </c>
      <c r="D21" s="116" t="s">
        <v>111</v>
      </c>
      <c r="E21" s="136">
        <v>39.700000000000003</v>
      </c>
      <c r="F21" s="97"/>
      <c r="G21" s="118"/>
      <c r="I21" s="115">
        <v>14</v>
      </c>
      <c r="J21" s="175">
        <v>0</v>
      </c>
      <c r="L21" s="115">
        <v>14</v>
      </c>
      <c r="M21" s="170">
        <v>403558</v>
      </c>
      <c r="AP21" s="103"/>
      <c r="AQ21" s="103"/>
      <c r="AR21" s="103"/>
    </row>
    <row r="22" spans="3:44" x14ac:dyDescent="0.2">
      <c r="C22" s="116" t="s">
        <v>341</v>
      </c>
      <c r="D22" s="138" t="s">
        <v>288</v>
      </c>
      <c r="E22" s="136">
        <v>6.9999999999999902</v>
      </c>
      <c r="F22" s="97"/>
      <c r="G22" s="118"/>
      <c r="I22" s="115">
        <v>15</v>
      </c>
      <c r="J22" s="175">
        <v>1806350</v>
      </c>
      <c r="L22" s="115">
        <v>15</v>
      </c>
      <c r="M22" s="170">
        <v>403558</v>
      </c>
      <c r="AP22" s="103"/>
      <c r="AQ22" s="103"/>
      <c r="AR22" s="103"/>
    </row>
    <row r="23" spans="3:44" x14ac:dyDescent="0.2">
      <c r="C23" s="116" t="s">
        <v>342</v>
      </c>
      <c r="D23" s="138" t="s">
        <v>289</v>
      </c>
      <c r="E23" s="136">
        <v>3.0000000000000018</v>
      </c>
      <c r="F23" s="97"/>
      <c r="G23" s="118"/>
      <c r="I23" s="115">
        <v>16</v>
      </c>
      <c r="J23" s="175">
        <v>0</v>
      </c>
      <c r="L23" s="115">
        <v>16</v>
      </c>
      <c r="M23" s="170">
        <v>403558</v>
      </c>
      <c r="AP23" s="103"/>
      <c r="AQ23" s="103"/>
      <c r="AR23" s="103"/>
    </row>
    <row r="24" spans="3:44" x14ac:dyDescent="0.2">
      <c r="C24" s="112"/>
      <c r="D24" s="97"/>
      <c r="E24" s="97"/>
      <c r="F24" s="97"/>
      <c r="G24" s="118"/>
      <c r="I24" s="115">
        <v>17</v>
      </c>
      <c r="J24" s="175">
        <v>0</v>
      </c>
      <c r="L24" s="115">
        <v>17</v>
      </c>
      <c r="M24" s="170">
        <v>403558</v>
      </c>
      <c r="AP24" s="103"/>
      <c r="AQ24" s="103"/>
      <c r="AR24" s="103"/>
    </row>
    <row r="25" spans="3:44" x14ac:dyDescent="0.2">
      <c r="C25" s="119" t="s">
        <v>344</v>
      </c>
      <c r="D25" s="142" t="s">
        <v>145</v>
      </c>
      <c r="E25" s="142" t="s">
        <v>83</v>
      </c>
      <c r="F25" s="152" t="s">
        <v>343</v>
      </c>
      <c r="G25" s="143"/>
      <c r="I25" s="115">
        <v>18</v>
      </c>
      <c r="J25" s="175">
        <v>0</v>
      </c>
      <c r="L25" s="115">
        <v>18</v>
      </c>
      <c r="M25" s="170">
        <v>403558</v>
      </c>
      <c r="AP25" s="103"/>
      <c r="AQ25" s="103"/>
      <c r="AR25" s="103"/>
    </row>
    <row r="26" spans="3:44" x14ac:dyDescent="0.2">
      <c r="C26" s="116" t="s">
        <v>345</v>
      </c>
      <c r="D26" s="140" t="s">
        <v>81</v>
      </c>
      <c r="E26" s="136">
        <v>0</v>
      </c>
      <c r="F26" s="151">
        <v>0</v>
      </c>
      <c r="G26" s="128"/>
      <c r="I26" s="115">
        <v>19</v>
      </c>
      <c r="J26" s="175">
        <v>0</v>
      </c>
      <c r="L26" s="115">
        <v>19</v>
      </c>
      <c r="M26" s="170">
        <v>403558</v>
      </c>
    </row>
    <row r="27" spans="3:44" x14ac:dyDescent="0.2">
      <c r="C27" s="116" t="s">
        <v>347</v>
      </c>
      <c r="D27" s="116" t="s">
        <v>346</v>
      </c>
      <c r="E27" s="136">
        <v>0</v>
      </c>
      <c r="F27" s="113">
        <v>0</v>
      </c>
      <c r="G27" s="118"/>
      <c r="I27" s="115">
        <v>20</v>
      </c>
      <c r="J27" s="175">
        <v>0</v>
      </c>
      <c r="L27" s="115">
        <v>20</v>
      </c>
      <c r="M27" s="170">
        <v>403558</v>
      </c>
    </row>
    <row r="28" spans="3:44" x14ac:dyDescent="0.2">
      <c r="C28" s="116" t="s">
        <v>348</v>
      </c>
      <c r="D28" s="116" t="s">
        <v>82</v>
      </c>
      <c r="E28" s="136">
        <v>0</v>
      </c>
      <c r="F28" s="113">
        <v>0</v>
      </c>
      <c r="G28" s="118"/>
      <c r="I28" s="115">
        <v>21</v>
      </c>
      <c r="J28" s="175">
        <v>0</v>
      </c>
      <c r="L28" s="115">
        <v>21</v>
      </c>
      <c r="M28" s="170">
        <v>403558</v>
      </c>
    </row>
    <row r="29" spans="3:44" x14ac:dyDescent="0.2">
      <c r="C29" s="116" t="s">
        <v>349</v>
      </c>
      <c r="D29" s="138" t="s">
        <v>295</v>
      </c>
      <c r="E29" s="136">
        <v>0</v>
      </c>
      <c r="F29" s="113">
        <v>0</v>
      </c>
      <c r="G29" s="118"/>
      <c r="I29" s="115">
        <v>22</v>
      </c>
      <c r="J29" s="175">
        <v>0</v>
      </c>
      <c r="L29" s="115">
        <v>22</v>
      </c>
      <c r="M29" s="170">
        <v>403558</v>
      </c>
    </row>
    <row r="30" spans="3:44" x14ac:dyDescent="0.2">
      <c r="C30" s="116" t="s">
        <v>350</v>
      </c>
      <c r="D30" s="116" t="s">
        <v>351</v>
      </c>
      <c r="E30" s="137">
        <v>0</v>
      </c>
      <c r="F30" s="129"/>
      <c r="G30" s="118"/>
      <c r="I30" s="115">
        <v>23</v>
      </c>
      <c r="J30" s="175">
        <v>0</v>
      </c>
      <c r="L30" s="115">
        <v>23</v>
      </c>
      <c r="M30" s="170">
        <v>403558</v>
      </c>
    </row>
    <row r="31" spans="3:44" x14ac:dyDescent="0.2">
      <c r="C31" s="112"/>
      <c r="D31" s="97"/>
      <c r="E31" s="106"/>
      <c r="F31" s="129"/>
      <c r="G31" s="130"/>
      <c r="I31" s="115">
        <v>24</v>
      </c>
      <c r="J31" s="175">
        <v>0</v>
      </c>
      <c r="L31" s="115">
        <v>24</v>
      </c>
      <c r="M31" s="170">
        <v>403558</v>
      </c>
    </row>
    <row r="32" spans="3:44" x14ac:dyDescent="0.2">
      <c r="C32" s="119" t="s">
        <v>354</v>
      </c>
      <c r="D32" s="146" t="s">
        <v>135</v>
      </c>
      <c r="E32" s="155"/>
      <c r="F32" s="156"/>
      <c r="G32" s="156"/>
      <c r="I32" s="115">
        <v>25</v>
      </c>
      <c r="J32" s="175">
        <v>0</v>
      </c>
      <c r="K32" s="105"/>
      <c r="L32" s="115">
        <v>25</v>
      </c>
      <c r="M32" s="170">
        <v>403558</v>
      </c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</row>
    <row r="33" spans="3:38" x14ac:dyDescent="0.2">
      <c r="C33" s="116" t="s">
        <v>321</v>
      </c>
      <c r="D33" s="153" t="s">
        <v>367</v>
      </c>
      <c r="E33" s="154">
        <v>1</v>
      </c>
      <c r="F33" s="97"/>
      <c r="G33" s="130"/>
      <c r="I33" s="115">
        <v>26</v>
      </c>
      <c r="J33" s="175">
        <v>0</v>
      </c>
      <c r="K33" s="105"/>
      <c r="L33" s="115">
        <v>26</v>
      </c>
      <c r="M33" s="170">
        <v>403558</v>
      </c>
      <c r="P33" s="105"/>
      <c r="Q33" s="105"/>
      <c r="R33" s="105"/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</row>
    <row r="34" spans="3:38" x14ac:dyDescent="0.2">
      <c r="C34" s="116" t="s">
        <v>322</v>
      </c>
      <c r="D34" s="139" t="s">
        <v>368</v>
      </c>
      <c r="E34" s="136">
        <v>0</v>
      </c>
      <c r="F34" s="97"/>
      <c r="G34" s="118"/>
      <c r="I34" s="115">
        <v>27</v>
      </c>
      <c r="J34" s="175">
        <v>0</v>
      </c>
      <c r="K34" s="105"/>
      <c r="L34" s="115">
        <v>27</v>
      </c>
      <c r="M34" s="170">
        <v>403558</v>
      </c>
      <c r="P34" s="105"/>
      <c r="Q34" s="105"/>
      <c r="R34" s="105"/>
      <c r="S34" s="105"/>
      <c r="T34" s="105"/>
      <c r="U34" s="105"/>
      <c r="V34" s="105"/>
      <c r="W34" s="105"/>
      <c r="X34" s="105"/>
      <c r="Y34" s="105"/>
      <c r="Z34" s="105"/>
      <c r="AA34" s="105"/>
      <c r="AB34" s="105"/>
      <c r="AC34" s="105"/>
      <c r="AD34" s="105"/>
      <c r="AE34" s="105"/>
      <c r="AF34" s="105"/>
      <c r="AG34" s="105"/>
      <c r="AH34" s="105"/>
      <c r="AI34" s="105"/>
      <c r="AJ34" s="105"/>
      <c r="AK34" s="105"/>
      <c r="AL34" s="105"/>
    </row>
    <row r="35" spans="3:38" x14ac:dyDescent="0.2">
      <c r="C35" s="116" t="s">
        <v>323</v>
      </c>
      <c r="D35" s="139" t="s">
        <v>369</v>
      </c>
      <c r="E35" s="136">
        <v>0</v>
      </c>
      <c r="F35" s="97"/>
      <c r="G35" s="118"/>
      <c r="I35" s="115">
        <v>28</v>
      </c>
      <c r="J35" s="175">
        <v>0</v>
      </c>
      <c r="L35" s="115">
        <v>28</v>
      </c>
      <c r="M35" s="170">
        <v>403558</v>
      </c>
    </row>
    <row r="36" spans="3:38" x14ac:dyDescent="0.2">
      <c r="C36" s="116" t="s">
        <v>352</v>
      </c>
      <c r="D36" s="116" t="s">
        <v>129</v>
      </c>
      <c r="E36" s="133">
        <v>0</v>
      </c>
      <c r="F36" s="97"/>
      <c r="G36" s="118"/>
      <c r="I36" s="115">
        <v>29</v>
      </c>
      <c r="J36" s="175">
        <v>0</v>
      </c>
      <c r="L36" s="115">
        <v>29</v>
      </c>
      <c r="M36" s="170">
        <v>403558</v>
      </c>
    </row>
    <row r="37" spans="3:38" x14ac:dyDescent="0.2">
      <c r="C37" s="112"/>
      <c r="D37" s="97"/>
      <c r="E37" s="97"/>
      <c r="F37" s="97"/>
      <c r="G37" s="118"/>
      <c r="I37" s="115">
        <v>30</v>
      </c>
      <c r="J37" s="175">
        <v>7940000</v>
      </c>
      <c r="L37" s="115">
        <v>30</v>
      </c>
      <c r="M37" s="170">
        <v>403558</v>
      </c>
    </row>
    <row r="38" spans="3:38" x14ac:dyDescent="0.2">
      <c r="C38" s="119" t="s">
        <v>355</v>
      </c>
      <c r="D38" s="159" t="s">
        <v>353</v>
      </c>
      <c r="E38" s="143"/>
      <c r="F38" s="143"/>
      <c r="G38" s="143"/>
    </row>
    <row r="39" spans="3:38" x14ac:dyDescent="0.2">
      <c r="C39" s="116" t="s">
        <v>356</v>
      </c>
      <c r="D39" s="157" t="s">
        <v>284</v>
      </c>
      <c r="E39" s="158">
        <v>0</v>
      </c>
      <c r="F39" s="97"/>
      <c r="G39" s="118"/>
    </row>
    <row r="40" spans="3:38" x14ac:dyDescent="0.2">
      <c r="C40" s="116" t="s">
        <v>357</v>
      </c>
      <c r="D40" s="139" t="s">
        <v>364</v>
      </c>
      <c r="E40" s="137">
        <v>0</v>
      </c>
      <c r="F40" s="97"/>
      <c r="G40" s="118"/>
    </row>
    <row r="41" spans="3:38" x14ac:dyDescent="0.2">
      <c r="C41" s="116" t="s">
        <v>358</v>
      </c>
      <c r="D41" s="138" t="s">
        <v>365</v>
      </c>
      <c r="E41" s="136">
        <v>0</v>
      </c>
      <c r="F41" s="97"/>
      <c r="G41" s="118"/>
    </row>
    <row r="42" spans="3:38" x14ac:dyDescent="0.2">
      <c r="C42" s="116" t="s">
        <v>359</v>
      </c>
      <c r="D42" s="138" t="s">
        <v>370</v>
      </c>
      <c r="E42" s="136">
        <v>0</v>
      </c>
      <c r="F42" s="97"/>
      <c r="G42" s="118"/>
    </row>
    <row r="43" spans="3:38" x14ac:dyDescent="0.2">
      <c r="C43" s="116" t="s">
        <v>360</v>
      </c>
      <c r="D43" s="138" t="s">
        <v>366</v>
      </c>
      <c r="E43" s="136">
        <v>0</v>
      </c>
      <c r="F43" s="131"/>
      <c r="G43" s="132"/>
    </row>
    <row r="47" spans="3:38" x14ac:dyDescent="0.2">
      <c r="G47" s="97"/>
      <c r="I47" s="97"/>
      <c r="J47" s="97"/>
      <c r="K47" s="97"/>
      <c r="M47" s="97"/>
    </row>
    <row r="52" spans="3:44" x14ac:dyDescent="0.2">
      <c r="C52" s="97"/>
      <c r="D52" s="100"/>
    </row>
    <row r="53" spans="3:44" x14ac:dyDescent="0.2">
      <c r="C53" s="97"/>
      <c r="D53" s="97"/>
      <c r="F53" s="103"/>
      <c r="G53" s="103"/>
      <c r="H53" s="103"/>
      <c r="I53" s="103"/>
      <c r="J53" s="103"/>
      <c r="K53" s="103"/>
      <c r="L53" s="10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03"/>
      <c r="AJ53" s="103"/>
      <c r="AK53" s="103"/>
      <c r="AL53" s="103"/>
    </row>
    <row r="54" spans="3:44" x14ac:dyDescent="0.2">
      <c r="C54" s="97"/>
      <c r="D54" s="97"/>
    </row>
    <row r="55" spans="3:44" x14ac:dyDescent="0.2">
      <c r="C55" s="97"/>
      <c r="D55" s="97"/>
      <c r="AJ55" s="103"/>
      <c r="AK55" s="103"/>
      <c r="AL55" s="103"/>
    </row>
    <row r="56" spans="3:44" x14ac:dyDescent="0.2">
      <c r="AJ56" s="103"/>
      <c r="AK56" s="103"/>
      <c r="AL56" s="103"/>
      <c r="AP56" s="103"/>
      <c r="AQ56" s="103"/>
      <c r="AR56" s="103"/>
    </row>
    <row r="57" spans="3:44" x14ac:dyDescent="0.2">
      <c r="F57" s="103"/>
      <c r="G57" s="103"/>
      <c r="H57" s="103"/>
      <c r="I57" s="103"/>
      <c r="J57" s="103"/>
      <c r="K57" s="103"/>
      <c r="L57" s="103"/>
      <c r="M57" s="103"/>
      <c r="N57" s="103"/>
      <c r="O57" s="103"/>
      <c r="Q57" s="103"/>
      <c r="R57" s="103"/>
      <c r="S57" s="103"/>
      <c r="T57" s="103"/>
      <c r="U57" s="103"/>
      <c r="V57" s="103"/>
      <c r="W57" s="103"/>
      <c r="X57" s="103"/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</row>
    <row r="58" spans="3:44" x14ac:dyDescent="0.2">
      <c r="F58" s="103"/>
      <c r="G58" s="103"/>
      <c r="H58" s="103"/>
      <c r="I58" s="103"/>
      <c r="J58" s="103"/>
      <c r="K58" s="103"/>
      <c r="L58" s="103"/>
      <c r="M58" s="103"/>
      <c r="N58" s="103"/>
      <c r="O58" s="103"/>
      <c r="P58" s="103"/>
      <c r="Q58" s="103"/>
      <c r="R58" s="103"/>
      <c r="S58" s="103"/>
      <c r="T58" s="103"/>
      <c r="U58" s="103"/>
      <c r="V58" s="103"/>
      <c r="W58" s="103"/>
      <c r="X58" s="103"/>
      <c r="Y58" s="103"/>
      <c r="Z58" s="103"/>
      <c r="AA58" s="103"/>
      <c r="AB58" s="103"/>
      <c r="AC58" s="103"/>
      <c r="AD58" s="103"/>
      <c r="AE58" s="103"/>
      <c r="AF58" s="103"/>
      <c r="AG58" s="103"/>
      <c r="AH58" s="103"/>
      <c r="AI58" s="103"/>
      <c r="AJ58" s="103"/>
      <c r="AK58" s="103"/>
      <c r="AL58" s="103"/>
    </row>
    <row r="59" spans="3:44" x14ac:dyDescent="0.2"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3"/>
      <c r="AH59" s="103"/>
      <c r="AI59" s="103"/>
      <c r="AJ59" s="103"/>
      <c r="AK59" s="103"/>
      <c r="AL59" s="103"/>
    </row>
    <row r="60" spans="3:44" x14ac:dyDescent="0.2">
      <c r="F60" s="107"/>
      <c r="G60" s="107"/>
      <c r="H60" s="107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7"/>
      <c r="W60" s="107"/>
      <c r="X60" s="107"/>
      <c r="Y60" s="107"/>
      <c r="Z60" s="107"/>
      <c r="AA60" s="107"/>
      <c r="AB60" s="107"/>
      <c r="AC60" s="107"/>
      <c r="AD60" s="107"/>
      <c r="AE60" s="107"/>
      <c r="AF60" s="107"/>
      <c r="AG60" s="107"/>
      <c r="AH60" s="107"/>
      <c r="AI60" s="107"/>
      <c r="AJ60" s="107"/>
      <c r="AK60" s="107"/>
      <c r="AL60" s="107"/>
    </row>
  </sheetData>
  <mergeCells count="6">
    <mergeCell ref="I6:J6"/>
    <mergeCell ref="L4:M4"/>
    <mergeCell ref="L6:M6"/>
    <mergeCell ref="E4:G4"/>
    <mergeCell ref="C1:M1"/>
    <mergeCell ref="I4:J4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'Drop down menu lists'!$C$6:$C$7</xm:f>
          </x14:formula1>
          <xm:sqref>E7</xm:sqref>
        </x14:dataValidation>
        <x14:dataValidation type="list" allowBlank="1" showInputMessage="1" showErrorMessage="1">
          <x14:formula1>
            <xm:f>'Drop down menu lists'!$Q$6:$Q$64</xm:f>
          </x14:formula1>
          <xm:sqref>E22:E23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8"/>
  <sheetViews>
    <sheetView workbookViewId="0"/>
    <sheetView workbookViewId="1"/>
  </sheetViews>
  <sheetFormatPr defaultRowHeight="15" x14ac:dyDescent="0.25"/>
  <cols>
    <col min="1" max="1" width="32.7109375" customWidth="1"/>
    <col min="3" max="3" width="11" customWidth="1"/>
    <col min="5" max="5" width="12" bestFit="1" customWidth="1"/>
    <col min="6" max="6" width="10" bestFit="1" customWidth="1"/>
    <col min="8" max="8" width="10" bestFit="1" customWidth="1"/>
  </cols>
  <sheetData>
    <row r="1" spans="1:10" x14ac:dyDescent="0.25">
      <c r="A1" t="s">
        <v>18</v>
      </c>
    </row>
    <row r="2" spans="1:10" x14ac:dyDescent="0.25">
      <c r="A2" t="s">
        <v>27</v>
      </c>
    </row>
    <row r="4" spans="1:10" x14ac:dyDescent="0.25">
      <c r="C4" t="s">
        <v>0</v>
      </c>
    </row>
    <row r="6" spans="1:10" x14ac:dyDescent="0.25">
      <c r="C6" t="s">
        <v>7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I6" t="s">
        <v>6</v>
      </c>
      <c r="J6" t="s">
        <v>10</v>
      </c>
    </row>
    <row r="7" spans="1:10" x14ac:dyDescent="0.25">
      <c r="A7" t="s">
        <v>20</v>
      </c>
      <c r="C7">
        <v>103.6022</v>
      </c>
      <c r="D7">
        <v>0.49192200000000003</v>
      </c>
      <c r="E7">
        <v>8.5864209999999996</v>
      </c>
      <c r="F7">
        <v>2.8E-5</v>
      </c>
      <c r="G7">
        <v>8.5236999999999993E-2</v>
      </c>
      <c r="H7">
        <v>3.6699999999999998E-4</v>
      </c>
      <c r="I7">
        <v>4.0819999999999997E-3</v>
      </c>
      <c r="J7">
        <v>42.5</v>
      </c>
    </row>
    <row r="9" spans="1:10" s="21" customFormat="1" x14ac:dyDescent="0.25"/>
    <row r="10" spans="1:10" s="21" customFormat="1" x14ac:dyDescent="0.25">
      <c r="B10" s="34" t="s">
        <v>85</v>
      </c>
    </row>
    <row r="11" spans="1:10" x14ac:dyDescent="0.25">
      <c r="A11" t="s">
        <v>21</v>
      </c>
    </row>
    <row r="12" spans="1:10" x14ac:dyDescent="0.25">
      <c r="A12" t="s">
        <v>22</v>
      </c>
      <c r="B12">
        <v>60</v>
      </c>
    </row>
    <row r="13" spans="1:10" x14ac:dyDescent="0.25">
      <c r="A13" t="s">
        <v>23</v>
      </c>
      <c r="B13">
        <v>1</v>
      </c>
    </row>
    <row r="14" spans="1:10" x14ac:dyDescent="0.25">
      <c r="A14" t="s">
        <v>24</v>
      </c>
      <c r="B14">
        <f>C7*((D7+(E7/B12)+(F7*(B12^2)))+(G7*B13)+(H7*(B13^2))+(I7*J7))</f>
        <v>103.07569534630333</v>
      </c>
    </row>
    <row r="16" spans="1:10" x14ac:dyDescent="0.25">
      <c r="A16" t="s">
        <v>25</v>
      </c>
    </row>
    <row r="17" spans="1:34" x14ac:dyDescent="0.25">
      <c r="A17" t="s">
        <v>22</v>
      </c>
      <c r="B17">
        <v>60</v>
      </c>
    </row>
    <row r="18" spans="1:34" x14ac:dyDescent="0.25">
      <c r="A18" t="s">
        <v>23</v>
      </c>
      <c r="B18">
        <v>3</v>
      </c>
    </row>
    <row r="19" spans="1:34" x14ac:dyDescent="0.25">
      <c r="A19" t="s">
        <v>26</v>
      </c>
      <c r="B19">
        <f>C7*((D7+(E7/B17)+(F7*(B17^2)))+(G7*B18)+(H7*(B18^2))+(I7*J7))</f>
        <v>121.04135284830332</v>
      </c>
    </row>
    <row r="21" spans="1:34" x14ac:dyDescent="0.25">
      <c r="A21" t="s">
        <v>72</v>
      </c>
      <c r="B21">
        <f>B14-B19</f>
        <v>-17.965657501999985</v>
      </c>
    </row>
    <row r="23" spans="1:34" x14ac:dyDescent="0.25">
      <c r="A23" s="21" t="s">
        <v>99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x14ac:dyDescent="0.25">
      <c r="A24" s="21" t="s">
        <v>96</v>
      </c>
      <c r="B24" s="21">
        <v>5</v>
      </c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x14ac:dyDescent="0.25">
      <c r="A25" s="21" t="s">
        <v>97</v>
      </c>
      <c r="B25" s="21">
        <v>200</v>
      </c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</row>
    <row r="26" spans="1:34" x14ac:dyDescent="0.25">
      <c r="A26" s="21" t="s">
        <v>98</v>
      </c>
      <c r="B26" s="25">
        <v>0.02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x14ac:dyDescent="0.25">
      <c r="A27" s="21" t="s">
        <v>101</v>
      </c>
      <c r="B27" s="25">
        <v>7.0000000000000007E-2</v>
      </c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s="21" customFormat="1" x14ac:dyDescent="0.25"/>
    <row r="30" spans="1:34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x14ac:dyDescent="0.25">
      <c r="A31" s="21" t="s">
        <v>86</v>
      </c>
      <c r="B31" s="21">
        <v>1</v>
      </c>
      <c r="C31" s="21">
        <f>B31+1</f>
        <v>2</v>
      </c>
      <c r="D31" s="21">
        <f t="shared" ref="D31:AE31" si="0">C31+1</f>
        <v>3</v>
      </c>
      <c r="E31" s="21">
        <f t="shared" si="0"/>
        <v>4</v>
      </c>
      <c r="F31" s="21">
        <f t="shared" si="0"/>
        <v>5</v>
      </c>
      <c r="G31" s="21">
        <f t="shared" si="0"/>
        <v>6</v>
      </c>
      <c r="H31" s="21">
        <f t="shared" si="0"/>
        <v>7</v>
      </c>
      <c r="I31" s="21">
        <f t="shared" si="0"/>
        <v>8</v>
      </c>
      <c r="J31" s="21">
        <f t="shared" si="0"/>
        <v>9</v>
      </c>
      <c r="K31" s="21">
        <f t="shared" si="0"/>
        <v>10</v>
      </c>
      <c r="L31" s="21">
        <f t="shared" si="0"/>
        <v>11</v>
      </c>
      <c r="M31" s="21">
        <f t="shared" si="0"/>
        <v>12</v>
      </c>
      <c r="N31" s="21">
        <f t="shared" si="0"/>
        <v>13</v>
      </c>
      <c r="O31" s="21">
        <f t="shared" si="0"/>
        <v>14</v>
      </c>
      <c r="P31" s="21">
        <f t="shared" si="0"/>
        <v>15</v>
      </c>
      <c r="Q31" s="21">
        <f t="shared" si="0"/>
        <v>16</v>
      </c>
      <c r="R31" s="21">
        <f t="shared" si="0"/>
        <v>17</v>
      </c>
      <c r="S31" s="21">
        <f t="shared" si="0"/>
        <v>18</v>
      </c>
      <c r="T31" s="21">
        <f t="shared" si="0"/>
        <v>19</v>
      </c>
      <c r="U31" s="21">
        <f t="shared" si="0"/>
        <v>20</v>
      </c>
      <c r="V31" s="21">
        <f t="shared" si="0"/>
        <v>21</v>
      </c>
      <c r="W31" s="21">
        <f t="shared" si="0"/>
        <v>22</v>
      </c>
      <c r="X31" s="21">
        <f t="shared" si="0"/>
        <v>23</v>
      </c>
      <c r="Y31" s="21">
        <f t="shared" si="0"/>
        <v>24</v>
      </c>
      <c r="Z31" s="21">
        <f t="shared" si="0"/>
        <v>25</v>
      </c>
      <c r="AA31" s="21">
        <f t="shared" si="0"/>
        <v>26</v>
      </c>
      <c r="AB31" s="21">
        <f t="shared" si="0"/>
        <v>27</v>
      </c>
      <c r="AC31" s="21">
        <f t="shared" si="0"/>
        <v>28</v>
      </c>
      <c r="AD31" s="21">
        <f t="shared" si="0"/>
        <v>29</v>
      </c>
      <c r="AE31" s="21">
        <f t="shared" si="0"/>
        <v>30</v>
      </c>
      <c r="AF31" s="21"/>
      <c r="AG31" s="21"/>
      <c r="AH31" s="21"/>
    </row>
    <row r="32" spans="1:34" x14ac:dyDescent="0.25">
      <c r="A32" s="21" t="s">
        <v>95</v>
      </c>
      <c r="B32" s="21">
        <v>1</v>
      </c>
      <c r="C32" s="21">
        <f>'VOC - IRI change over time'!I23</f>
        <v>0.96282540930639837</v>
      </c>
      <c r="D32" s="21">
        <f>'VOC - IRI change over time'!I24</f>
        <v>0.92703276880603369</v>
      </c>
      <c r="E32" s="21">
        <f>'VOC - IRI change over time'!I25</f>
        <v>0.89257070506611313</v>
      </c>
      <c r="F32" s="21">
        <f>'VOC - IRI change over time'!I26</f>
        <v>0.85938975444018106</v>
      </c>
      <c r="G32" s="21">
        <f>'VOC - IRI change over time'!I27</f>
        <v>0.82744229207259246</v>
      </c>
      <c r="H32" s="21">
        <f>'VOC - IRI change over time'!I28</f>
        <v>0.79668246354221839</v>
      </c>
      <c r="I32" s="21">
        <f>'VOC - IRI change over time'!I29</f>
        <v>0.76706611904726618</v>
      </c>
      <c r="J32">
        <f>'VOC - IRI change over time'!I30</f>
        <v>0.73855075003675463</v>
      </c>
      <c r="K32">
        <f>'VOC - IRI change over time'!I31</f>
        <v>0.71109542819768579</v>
      </c>
      <c r="L32">
        <f>'VOC - IRI change over time'!I32</f>
        <v>0.68466074671034549</v>
      </c>
      <c r="M32">
        <f>'VOC - IRI change over time'!I33</f>
        <v>0.65920876368741277</v>
      </c>
      <c r="N32">
        <f>'VOC - IRI change over time'!I34</f>
        <v>0.63470294771569813</v>
      </c>
      <c r="O32">
        <f>'VOC - IRI change over time'!I35</f>
        <v>0.61110812542234461</v>
      </c>
      <c r="P32">
        <f>'VOC - IRI change over time'!I36</f>
        <v>0.5883904309902348</v>
      </c>
      <c r="Q32">
        <f>'VOC - IRI change over time'!I37</f>
        <v>0.56651725755014093</v>
      </c>
      <c r="R32">
        <f>'VOC - IRI change over time'!I38</f>
        <v>0.54545721037985284</v>
      </c>
      <c r="S32">
        <f>'VOC - IRI change over time'!I39</f>
        <v>0.52518006184310806</v>
      </c>
      <c r="T32">
        <f>'VOC - IRI change over time'!I40</f>
        <v>0.50565670800365015</v>
      </c>
      <c r="U32">
        <f>'VOC - IRI change over time'!I41</f>
        <v>0.48685912685214044</v>
      </c>
      <c r="V32">
        <f>'VOC - IRI change over time'!I42</f>
        <v>0.46876033808596784</v>
      </c>
      <c r="W32">
        <f>'VOC - IRI change over time'!I43</f>
        <v>0.45133436438422769</v>
      </c>
      <c r="X32">
        <f>'VOC - IRI change over time'!I44</f>
        <v>0.43455619412228719</v>
      </c>
      <c r="Y32">
        <f>'VOC - IRI change over time'!I45</f>
        <v>0.41840174547242193</v>
      </c>
      <c r="Z32">
        <f>'VOC - IRI change over time'!I46</f>
        <v>0.40284783183899614</v>
      </c>
      <c r="AA32">
        <f>'VOC - IRI change over time'!I47</f>
        <v>0.38787212857857661</v>
      </c>
      <c r="AB32">
        <f>'VOC - IRI change over time'!I48</f>
        <v>0.37345314095721205</v>
      </c>
      <c r="AC32">
        <f>'VOC - IRI change over time'!I49</f>
        <v>0.35957017329888774</v>
      </c>
      <c r="AD32">
        <f>'VOC - IRI change over time'!I50</f>
        <v>0.34620329928087423</v>
      </c>
      <c r="AE32">
        <f>'VOC - IRI change over time'!I51</f>
        <v>0.33333333333333331</v>
      </c>
    </row>
    <row r="33" spans="1:34" x14ac:dyDescent="0.25">
      <c r="A33" s="21" t="s">
        <v>72</v>
      </c>
      <c r="B33" s="21">
        <f>$B$21*B32</f>
        <v>-17.965657501999985</v>
      </c>
      <c r="C33" s="21">
        <f t="shared" ref="C33:AE33" si="1">$B$21*C32</f>
        <v>-17.297791537821702</v>
      </c>
      <c r="D33" s="21">
        <f t="shared" si="1"/>
        <v>-16.654753217499938</v>
      </c>
      <c r="E33" s="21">
        <f t="shared" si="1"/>
        <v>-16.03561958353643</v>
      </c>
      <c r="F33" s="21">
        <f t="shared" si="1"/>
        <v>-15.439501989000163</v>
      </c>
      <c r="G33" s="21">
        <f t="shared" si="1"/>
        <v>-14.865544822046033</v>
      </c>
      <c r="H33" s="21">
        <f t="shared" si="1"/>
        <v>-14.312924277849085</v>
      </c>
      <c r="I33" s="21">
        <f t="shared" si="1"/>
        <v>-13.78084717619153</v>
      </c>
      <c r="J33" s="21">
        <f t="shared" si="1"/>
        <v>-13.268549823005536</v>
      </c>
      <c r="K33" s="21">
        <f t="shared" si="1"/>
        <v>-12.775296914237645</v>
      </c>
      <c r="L33" s="21">
        <f t="shared" si="1"/>
        <v>-12.30038048046163</v>
      </c>
      <c r="M33" s="21">
        <f t="shared" si="1"/>
        <v>-11.843118870724902</v>
      </c>
      <c r="N33" s="21">
        <f t="shared" si="1"/>
        <v>-11.402855774170037</v>
      </c>
      <c r="O33" s="21">
        <f t="shared" si="1"/>
        <v>-10.978959278027093</v>
      </c>
      <c r="P33" s="21">
        <f t="shared" si="1"/>
        <v>-10.570820960624717</v>
      </c>
      <c r="Q33" s="21">
        <f t="shared" si="1"/>
        <v>-10.177855018118146</v>
      </c>
      <c r="R33" s="21">
        <f t="shared" si="1"/>
        <v>-9.799497423680787</v>
      </c>
      <c r="S33" s="21">
        <f t="shared" si="1"/>
        <v>-9.4352051179524512</v>
      </c>
      <c r="T33" s="21">
        <f t="shared" si="1"/>
        <v>-9.0844552295823924</v>
      </c>
      <c r="U33" s="21">
        <f t="shared" si="1"/>
        <v>-8.7467443247483185</v>
      </c>
      <c r="V33" s="21">
        <f t="shared" si="1"/>
        <v>-8.4215876845742166</v>
      </c>
      <c r="W33" s="21">
        <f t="shared" si="1"/>
        <v>-8.1085186094098951</v>
      </c>
      <c r="X33" s="21">
        <f t="shared" si="1"/>
        <v>-7.8070877489736308</v>
      </c>
      <c r="Y33" s="21">
        <f t="shared" si="1"/>
        <v>-7.5168624573965053</v>
      </c>
      <c r="Z33" s="21">
        <f t="shared" si="1"/>
        <v>-7.2374261722426896</v>
      </c>
      <c r="AA33" s="21">
        <f t="shared" si="1"/>
        <v>-6.9683778166144075</v>
      </c>
      <c r="AB33" s="21">
        <f t="shared" si="1"/>
        <v>-6.7093312234833942</v>
      </c>
      <c r="AC33" s="21">
        <f t="shared" si="1"/>
        <v>-6.4599145814225976</v>
      </c>
      <c r="AD33" s="21">
        <f t="shared" si="1"/>
        <v>-6.219769900942584</v>
      </c>
      <c r="AE33" s="21">
        <f t="shared" si="1"/>
        <v>-5.9885525006666613</v>
      </c>
      <c r="AF33" s="21"/>
      <c r="AG33" s="21"/>
      <c r="AH33" s="21"/>
    </row>
    <row r="34" spans="1:34" ht="30" x14ac:dyDescent="0.25">
      <c r="A34" s="26" t="s">
        <v>100</v>
      </c>
      <c r="B34" s="21">
        <f>($B$24*$B$25*B33)/100</f>
        <v>-179.65657501999985</v>
      </c>
      <c r="C34" s="21">
        <f>(C33*$B$24*($B$25*(1+$B$26)^(C31-$B$31)))/100</f>
        <v>-176.43747368578133</v>
      </c>
      <c r="D34" s="21">
        <f>(D33*$B$24*($B$25*(1+$B$26)^(D31-$B$31)))/100</f>
        <v>-173.27605247486935</v>
      </c>
      <c r="E34" s="21">
        <f t="shared" ref="E34:AE34" si="2">(E33*$B$24*($B$25*(1+$B$26)^(E31-$B$31)))/100</f>
        <v>-170.17127787005526</v>
      </c>
      <c r="F34" s="21">
        <f t="shared" si="2"/>
        <v>-167.12213487277742</v>
      </c>
      <c r="G34" s="21">
        <f t="shared" si="2"/>
        <v>-164.12762667130184</v>
      </c>
      <c r="H34" s="21">
        <f t="shared" si="2"/>
        <v>-161.18677431484966</v>
      </c>
      <c r="I34" s="21">
        <f t="shared" si="2"/>
        <v>-158.29861639356261</v>
      </c>
      <c r="J34" s="21">
        <f t="shared" si="2"/>
        <v>-155.46220872420389</v>
      </c>
      <c r="K34" s="21">
        <f t="shared" si="2"/>
        <v>-152.67662404148948</v>
      </c>
      <c r="L34" s="21">
        <f t="shared" si="2"/>
        <v>-149.94095169495156</v>
      </c>
      <c r="M34" s="21">
        <f t="shared" si="2"/>
        <v>-147.25429735123228</v>
      </c>
      <c r="N34" s="21">
        <f t="shared" si="2"/>
        <v>-144.61578270171287</v>
      </c>
      <c r="O34" s="21">
        <f t="shared" si="2"/>
        <v>-142.02454517538067</v>
      </c>
      <c r="P34" s="21">
        <f t="shared" si="2"/>
        <v>-139.47973765684182</v>
      </c>
      <c r="Q34" s="21">
        <f t="shared" si="2"/>
        <v>-136.98052820938571</v>
      </c>
      <c r="R34" s="21">
        <f t="shared" si="2"/>
        <v>-134.52609980301267</v>
      </c>
      <c r="S34" s="21">
        <f t="shared" si="2"/>
        <v>-132.11565004733367</v>
      </c>
      <c r="T34" s="21">
        <f t="shared" si="2"/>
        <v>-129.74839092925697</v>
      </c>
      <c r="U34" s="21">
        <f t="shared" si="2"/>
        <v>-127.42354855537462</v>
      </c>
      <c r="V34" s="21">
        <f t="shared" si="2"/>
        <v>-125.14036289896436</v>
      </c>
      <c r="W34" s="21">
        <f t="shared" si="2"/>
        <v>-122.89808755152553</v>
      </c>
      <c r="X34" s="21">
        <f t="shared" si="2"/>
        <v>-120.69598947876656</v>
      </c>
      <c r="Y34" s="21">
        <f t="shared" si="2"/>
        <v>-118.53334878096486</v>
      </c>
      <c r="Z34" s="21">
        <f t="shared" si="2"/>
        <v>-116.40945845762036</v>
      </c>
      <c r="AA34" s="21">
        <f t="shared" si="2"/>
        <v>-114.32362417632643</v>
      </c>
      <c r="AB34" s="21">
        <f t="shared" si="2"/>
        <v>-112.27516404578161</v>
      </c>
      <c r="AC34" s="21">
        <f t="shared" si="2"/>
        <v>-110.26340839286914</v>
      </c>
      <c r="AD34" s="21">
        <f t="shared" si="2"/>
        <v>-108.28769954373045</v>
      </c>
      <c r="AE34" s="21">
        <f t="shared" si="2"/>
        <v>-106.34739160876138</v>
      </c>
      <c r="AF34" s="21"/>
      <c r="AG34" s="21"/>
      <c r="AH34" s="21"/>
    </row>
    <row r="35" spans="1:34" x14ac:dyDescent="0.25">
      <c r="A35" s="21"/>
      <c r="B35" s="21"/>
      <c r="D35" s="21"/>
      <c r="E35" s="21"/>
      <c r="AF35" s="21"/>
      <c r="AG35" s="21"/>
      <c r="AH35" s="21"/>
    </row>
    <row r="36" spans="1:34" x14ac:dyDescent="0.25">
      <c r="A36" s="21"/>
      <c r="B36" s="21"/>
      <c r="D36" s="21"/>
      <c r="E36" s="21"/>
      <c r="AE36" s="21"/>
      <c r="AF36" s="21"/>
      <c r="AG36" s="21"/>
      <c r="AH36" s="21"/>
    </row>
    <row r="37" spans="1:34" x14ac:dyDescent="0.25">
      <c r="A37" s="21"/>
      <c r="B37" s="21"/>
      <c r="D37" s="21"/>
      <c r="E37" s="21"/>
      <c r="AD37" s="21"/>
      <c r="AE37" s="21"/>
      <c r="AF37" s="21"/>
      <c r="AG37" s="21"/>
      <c r="AH37" s="21"/>
    </row>
    <row r="38" spans="1:34" x14ac:dyDescent="0.25">
      <c r="A38" s="21"/>
      <c r="B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9"/>
  <sheetViews>
    <sheetView workbookViewId="0"/>
    <sheetView workbookViewId="1"/>
  </sheetViews>
  <sheetFormatPr defaultRowHeight="15" x14ac:dyDescent="0.25"/>
  <cols>
    <col min="1" max="1" width="27.140625" customWidth="1"/>
  </cols>
  <sheetData>
    <row r="2" spans="1:2" x14ac:dyDescent="0.25">
      <c r="A2" t="s">
        <v>28</v>
      </c>
    </row>
    <row r="3" spans="1:2" x14ac:dyDescent="0.25">
      <c r="A3" t="s">
        <v>29</v>
      </c>
      <c r="B3">
        <v>1.7</v>
      </c>
    </row>
    <row r="4" spans="1:2" x14ac:dyDescent="0.25">
      <c r="A4" t="s">
        <v>30</v>
      </c>
      <c r="B4">
        <v>15</v>
      </c>
    </row>
    <row r="5" spans="1:2" s="21" customFormat="1" x14ac:dyDescent="0.25">
      <c r="A5" s="21" t="s">
        <v>34</v>
      </c>
      <c r="B5" s="21">
        <f>B3*B4</f>
        <v>25.5</v>
      </c>
    </row>
    <row r="7" spans="1:2" x14ac:dyDescent="0.25">
      <c r="A7" t="s">
        <v>31</v>
      </c>
    </row>
    <row r="8" spans="1:2" x14ac:dyDescent="0.25">
      <c r="A8" t="s">
        <v>29</v>
      </c>
      <c r="B8">
        <v>1</v>
      </c>
    </row>
    <row r="9" spans="1:2" x14ac:dyDescent="0.25">
      <c r="A9" t="s">
        <v>32</v>
      </c>
      <c r="B9">
        <v>26.81</v>
      </c>
    </row>
    <row r="10" spans="1:2" x14ac:dyDescent="0.25">
      <c r="A10" t="s">
        <v>33</v>
      </c>
      <c r="B10">
        <v>21.36</v>
      </c>
    </row>
    <row r="11" spans="1:2" x14ac:dyDescent="0.25">
      <c r="A11" t="s">
        <v>34</v>
      </c>
      <c r="B11">
        <f>B9+B10</f>
        <v>48.17</v>
      </c>
    </row>
    <row r="13" spans="1:2" x14ac:dyDescent="0.25">
      <c r="A13" t="s">
        <v>66</v>
      </c>
      <c r="B13">
        <v>5</v>
      </c>
    </row>
    <row r="14" spans="1:2" x14ac:dyDescent="0.25">
      <c r="A14" t="s">
        <v>67</v>
      </c>
      <c r="B14">
        <v>60</v>
      </c>
    </row>
    <row r="15" spans="1:2" x14ac:dyDescent="0.25">
      <c r="A15" s="21" t="s">
        <v>68</v>
      </c>
      <c r="B15">
        <v>80</v>
      </c>
    </row>
    <row r="16" spans="1:2" x14ac:dyDescent="0.25">
      <c r="A16" t="s">
        <v>69</v>
      </c>
      <c r="B16">
        <f>(B13/B14)-(B13/B15)</f>
        <v>2.0833333333333329E-2</v>
      </c>
    </row>
    <row r="18" spans="1:2" x14ac:dyDescent="0.25">
      <c r="A18" t="s">
        <v>70</v>
      </c>
      <c r="B18" s="23">
        <f>B16*B4*B3</f>
        <v>0.53124999999999989</v>
      </c>
    </row>
    <row r="19" spans="1:2" x14ac:dyDescent="0.25">
      <c r="A19" s="21" t="s">
        <v>71</v>
      </c>
      <c r="B19" s="23">
        <f>B16*B11</f>
        <v>1.0035416666666666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/>
    <sheetView workbookViewId="1"/>
  </sheetViews>
  <sheetFormatPr defaultRowHeight="15" x14ac:dyDescent="0.25"/>
  <cols>
    <col min="1" max="1" width="30.7109375" customWidth="1"/>
    <col min="2" max="2" width="18.28515625" customWidth="1"/>
    <col min="3" max="3" width="16.28515625" customWidth="1"/>
    <col min="4" max="4" width="20.7109375" customWidth="1"/>
  </cols>
  <sheetData>
    <row r="1" spans="1:4" x14ac:dyDescent="0.25">
      <c r="A1" t="s">
        <v>51</v>
      </c>
    </row>
    <row r="3" spans="1:4" x14ac:dyDescent="0.25">
      <c r="A3" t="s">
        <v>52</v>
      </c>
      <c r="B3" t="s">
        <v>57</v>
      </c>
      <c r="C3" t="s">
        <v>58</v>
      </c>
      <c r="D3" t="s">
        <v>59</v>
      </c>
    </row>
    <row r="4" spans="1:4" x14ac:dyDescent="0.25">
      <c r="A4" t="s">
        <v>53</v>
      </c>
      <c r="B4">
        <v>1</v>
      </c>
      <c r="C4" s="24">
        <f>'WTP Values'!E18</f>
        <v>7850553.5</v>
      </c>
      <c r="D4" s="24">
        <f>B4*C4</f>
        <v>7850553.5</v>
      </c>
    </row>
    <row r="5" spans="1:4" x14ac:dyDescent="0.25">
      <c r="A5" t="s">
        <v>54</v>
      </c>
      <c r="B5">
        <v>5</v>
      </c>
      <c r="C5" s="24">
        <f>'WTP Values'!F18</f>
        <v>416853.85714285716</v>
      </c>
      <c r="D5" s="24">
        <f t="shared" ref="D5:D6" si="0">B5*C5</f>
        <v>2084269.2857142859</v>
      </c>
    </row>
    <row r="6" spans="1:4" x14ac:dyDescent="0.25">
      <c r="A6" t="s">
        <v>55</v>
      </c>
      <c r="B6">
        <v>3</v>
      </c>
      <c r="C6" s="24">
        <f>'WTP Values'!G18</f>
        <v>24375.166666666668</v>
      </c>
      <c r="D6" s="24">
        <f t="shared" si="0"/>
        <v>73125.5</v>
      </c>
    </row>
    <row r="7" spans="1:4" x14ac:dyDescent="0.25">
      <c r="A7" t="s">
        <v>56</v>
      </c>
      <c r="D7" s="24">
        <f>SUM(D4:D6)</f>
        <v>10007948.285714285</v>
      </c>
    </row>
    <row r="8" spans="1:4" x14ac:dyDescent="0.25">
      <c r="A8" t="s">
        <v>74</v>
      </c>
      <c r="D8" s="24">
        <f>D7/30</f>
        <v>333598.2761904762</v>
      </c>
    </row>
    <row r="9" spans="1:4" x14ac:dyDescent="0.25">
      <c r="A9" t="s">
        <v>73</v>
      </c>
      <c r="B9" s="1">
        <v>0.8</v>
      </c>
      <c r="D9" s="24">
        <f>D8*B9</f>
        <v>266878.620952381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9"/>
  <sheetViews>
    <sheetView workbookViewId="0"/>
    <sheetView workbookViewId="1"/>
  </sheetViews>
  <sheetFormatPr defaultRowHeight="15" x14ac:dyDescent="0.25"/>
  <cols>
    <col min="1" max="1" width="44" customWidth="1"/>
  </cols>
  <sheetData>
    <row r="1" spans="1:14" x14ac:dyDescent="0.25">
      <c r="A1" t="s">
        <v>60</v>
      </c>
    </row>
    <row r="2" spans="1:14" x14ac:dyDescent="0.25">
      <c r="M2" s="22">
        <v>36586</v>
      </c>
      <c r="N2" s="20">
        <v>69.7</v>
      </c>
    </row>
    <row r="3" spans="1:14" x14ac:dyDescent="0.25">
      <c r="A3" t="s">
        <v>61</v>
      </c>
      <c r="M3" s="22">
        <v>36678</v>
      </c>
      <c r="N3" s="20">
        <v>70.2</v>
      </c>
    </row>
    <row r="4" spans="1:14" x14ac:dyDescent="0.25">
      <c r="A4" t="s">
        <v>62</v>
      </c>
      <c r="B4">
        <v>4.79</v>
      </c>
      <c r="M4" s="22">
        <v>36770</v>
      </c>
      <c r="N4" s="20">
        <v>72.900000000000006</v>
      </c>
    </row>
    <row r="5" spans="1:14" x14ac:dyDescent="0.25">
      <c r="A5" t="s">
        <v>63</v>
      </c>
      <c r="B5">
        <f>N79/N23</f>
        <v>1.3898305084745763</v>
      </c>
      <c r="M5" s="22">
        <v>36861</v>
      </c>
      <c r="N5" s="20">
        <v>73.099999999999994</v>
      </c>
    </row>
    <row r="6" spans="1:14" x14ac:dyDescent="0.25">
      <c r="A6" s="21" t="s">
        <v>64</v>
      </c>
      <c r="B6">
        <f>B4*B5</f>
        <v>6.6572881355932205</v>
      </c>
      <c r="M6" s="22">
        <v>36951</v>
      </c>
      <c r="N6" s="20">
        <v>73.900000000000006</v>
      </c>
    </row>
    <row r="7" spans="1:14" x14ac:dyDescent="0.25">
      <c r="M7" s="22">
        <v>37043</v>
      </c>
      <c r="N7" s="20">
        <v>74.5</v>
      </c>
    </row>
    <row r="8" spans="1:14" x14ac:dyDescent="0.25">
      <c r="A8" t="s">
        <v>65</v>
      </c>
      <c r="M8" s="22">
        <v>37135</v>
      </c>
      <c r="N8" s="20">
        <v>74.7</v>
      </c>
    </row>
    <row r="9" spans="1:14" x14ac:dyDescent="0.25">
      <c r="A9" t="s">
        <v>62</v>
      </c>
      <c r="B9">
        <v>1.88</v>
      </c>
      <c r="F9">
        <v>0.97</v>
      </c>
      <c r="M9" s="22">
        <v>37226</v>
      </c>
      <c r="N9" s="20">
        <v>75.400000000000006</v>
      </c>
    </row>
    <row r="10" spans="1:14" x14ac:dyDescent="0.25">
      <c r="A10" s="21" t="s">
        <v>63</v>
      </c>
      <c r="B10">
        <f>B5</f>
        <v>1.3898305084745763</v>
      </c>
      <c r="F10">
        <v>7.0000000000000007E-2</v>
      </c>
      <c r="M10" s="22">
        <v>37316</v>
      </c>
      <c r="N10" s="20">
        <v>76.099999999999994</v>
      </c>
    </row>
    <row r="11" spans="1:14" x14ac:dyDescent="0.25">
      <c r="A11" s="21" t="s">
        <v>64</v>
      </c>
      <c r="B11">
        <f>B9*B10</f>
        <v>2.6128813559322035</v>
      </c>
      <c r="F11">
        <v>0.26</v>
      </c>
      <c r="M11" s="22">
        <v>37408</v>
      </c>
      <c r="N11" s="20">
        <v>76.599999999999994</v>
      </c>
    </row>
    <row r="12" spans="1:14" x14ac:dyDescent="0.25">
      <c r="F12">
        <v>0.1</v>
      </c>
      <c r="M12" s="22">
        <v>37500</v>
      </c>
      <c r="N12" s="20">
        <v>77.099999999999994</v>
      </c>
    </row>
    <row r="13" spans="1:14" x14ac:dyDescent="0.25">
      <c r="F13">
        <v>0.26</v>
      </c>
      <c r="M13" s="22">
        <v>37591</v>
      </c>
      <c r="N13" s="20">
        <v>77.599999999999994</v>
      </c>
    </row>
    <row r="14" spans="1:14" x14ac:dyDescent="0.25">
      <c r="F14">
        <v>0.22</v>
      </c>
      <c r="M14" s="22">
        <v>37681</v>
      </c>
      <c r="N14" s="20">
        <v>78.599999999999994</v>
      </c>
    </row>
    <row r="15" spans="1:14" x14ac:dyDescent="0.25">
      <c r="M15" s="22">
        <v>37773</v>
      </c>
      <c r="N15" s="20">
        <v>78.599999999999994</v>
      </c>
    </row>
    <row r="16" spans="1:14" x14ac:dyDescent="0.25">
      <c r="M16" s="22">
        <v>37865</v>
      </c>
      <c r="N16" s="20">
        <v>79.099999999999994</v>
      </c>
    </row>
    <row r="17" spans="13:14" x14ac:dyDescent="0.25">
      <c r="M17" s="22">
        <v>37956</v>
      </c>
      <c r="N17" s="20">
        <v>79.5</v>
      </c>
    </row>
    <row r="18" spans="13:14" x14ac:dyDescent="0.25">
      <c r="M18" s="22">
        <v>38047</v>
      </c>
      <c r="N18" s="20">
        <v>80.2</v>
      </c>
    </row>
    <row r="19" spans="13:14" x14ac:dyDescent="0.25">
      <c r="M19" s="22">
        <v>38139</v>
      </c>
      <c r="N19" s="20">
        <v>80.599999999999994</v>
      </c>
    </row>
    <row r="20" spans="13:14" x14ac:dyDescent="0.25">
      <c r="M20" s="22">
        <v>38231</v>
      </c>
      <c r="N20" s="20">
        <v>80.900000000000006</v>
      </c>
    </row>
    <row r="21" spans="13:14" x14ac:dyDescent="0.25">
      <c r="M21" s="22">
        <v>38322</v>
      </c>
      <c r="N21" s="20">
        <v>81.5</v>
      </c>
    </row>
    <row r="22" spans="13:14" x14ac:dyDescent="0.25">
      <c r="M22" s="22">
        <v>38412</v>
      </c>
      <c r="N22" s="20">
        <v>82.1</v>
      </c>
    </row>
    <row r="23" spans="13:14" x14ac:dyDescent="0.25">
      <c r="M23" s="22">
        <v>38504</v>
      </c>
      <c r="N23" s="20">
        <v>82.6</v>
      </c>
    </row>
    <row r="24" spans="13:14" x14ac:dyDescent="0.25">
      <c r="M24" s="22">
        <v>38596</v>
      </c>
      <c r="N24" s="20">
        <v>83.4</v>
      </c>
    </row>
    <row r="25" spans="13:14" x14ac:dyDescent="0.25">
      <c r="M25" s="22">
        <v>38687</v>
      </c>
      <c r="N25" s="20">
        <v>83.8</v>
      </c>
    </row>
    <row r="26" spans="13:14" x14ac:dyDescent="0.25">
      <c r="M26" s="22">
        <v>38777</v>
      </c>
      <c r="N26" s="20">
        <v>84.5</v>
      </c>
    </row>
    <row r="27" spans="13:14" x14ac:dyDescent="0.25">
      <c r="M27" s="22">
        <v>38869</v>
      </c>
      <c r="N27" s="20">
        <v>85.9</v>
      </c>
    </row>
    <row r="28" spans="13:14" x14ac:dyDescent="0.25">
      <c r="M28" s="22">
        <v>38961</v>
      </c>
      <c r="N28" s="20">
        <v>86.7</v>
      </c>
    </row>
    <row r="29" spans="13:14" x14ac:dyDescent="0.25">
      <c r="M29" s="22">
        <v>39052</v>
      </c>
      <c r="N29" s="20">
        <v>86.6</v>
      </c>
    </row>
    <row r="30" spans="13:14" x14ac:dyDescent="0.25">
      <c r="M30" s="22">
        <v>39142</v>
      </c>
      <c r="N30" s="20">
        <v>86.6</v>
      </c>
    </row>
    <row r="31" spans="13:14" x14ac:dyDescent="0.25">
      <c r="M31" s="22">
        <v>39234</v>
      </c>
      <c r="N31" s="20">
        <v>87.7</v>
      </c>
    </row>
    <row r="32" spans="13:14" x14ac:dyDescent="0.25">
      <c r="M32" s="22">
        <v>39326</v>
      </c>
      <c r="N32" s="20">
        <v>88.3</v>
      </c>
    </row>
    <row r="33" spans="13:14" x14ac:dyDescent="0.25">
      <c r="M33" s="22">
        <v>39417</v>
      </c>
      <c r="N33" s="20">
        <v>89.1</v>
      </c>
    </row>
    <row r="34" spans="13:14" x14ac:dyDescent="0.25">
      <c r="M34" s="22">
        <v>39508</v>
      </c>
      <c r="N34" s="20">
        <v>90.3</v>
      </c>
    </row>
    <row r="35" spans="13:14" x14ac:dyDescent="0.25">
      <c r="M35" s="22">
        <v>39600</v>
      </c>
      <c r="N35" s="20">
        <v>91.6</v>
      </c>
    </row>
    <row r="36" spans="13:14" x14ac:dyDescent="0.25">
      <c r="M36" s="22">
        <v>39692</v>
      </c>
      <c r="N36" s="20">
        <v>92.7</v>
      </c>
    </row>
    <row r="37" spans="13:14" x14ac:dyDescent="0.25">
      <c r="M37" s="22">
        <v>39783</v>
      </c>
      <c r="N37" s="20">
        <v>92.4</v>
      </c>
    </row>
    <row r="38" spans="13:14" x14ac:dyDescent="0.25">
      <c r="M38" s="22">
        <v>39873</v>
      </c>
      <c r="N38" s="20">
        <v>92.5</v>
      </c>
    </row>
    <row r="39" spans="13:14" x14ac:dyDescent="0.25">
      <c r="M39" s="22">
        <v>39965</v>
      </c>
      <c r="N39" s="20">
        <v>92.9</v>
      </c>
    </row>
    <row r="40" spans="13:14" x14ac:dyDescent="0.25">
      <c r="M40" s="22">
        <v>40057</v>
      </c>
      <c r="N40" s="20">
        <v>93.8</v>
      </c>
    </row>
    <row r="41" spans="13:14" x14ac:dyDescent="0.25">
      <c r="M41" s="22">
        <v>40148</v>
      </c>
      <c r="N41" s="20">
        <v>94.3</v>
      </c>
    </row>
    <row r="42" spans="13:14" x14ac:dyDescent="0.25">
      <c r="M42" s="22">
        <v>40238</v>
      </c>
      <c r="N42" s="20">
        <v>95.2</v>
      </c>
    </row>
    <row r="43" spans="13:14" x14ac:dyDescent="0.25">
      <c r="M43" s="22">
        <v>40330</v>
      </c>
      <c r="N43" s="20">
        <v>95.8</v>
      </c>
    </row>
    <row r="44" spans="13:14" x14ac:dyDescent="0.25">
      <c r="M44" s="22">
        <v>40422</v>
      </c>
      <c r="N44" s="20">
        <v>96.5</v>
      </c>
    </row>
    <row r="45" spans="13:14" x14ac:dyDescent="0.25">
      <c r="M45" s="22">
        <v>40513</v>
      </c>
      <c r="N45" s="20">
        <v>96.9</v>
      </c>
    </row>
    <row r="46" spans="13:14" x14ac:dyDescent="0.25">
      <c r="M46" s="22">
        <v>40603</v>
      </c>
      <c r="N46" s="20">
        <v>98.3</v>
      </c>
    </row>
    <row r="47" spans="13:14" x14ac:dyDescent="0.25">
      <c r="M47" s="22">
        <v>40695</v>
      </c>
      <c r="N47" s="20">
        <v>99.2</v>
      </c>
    </row>
    <row r="48" spans="13:14" x14ac:dyDescent="0.25">
      <c r="M48" s="22">
        <v>40787</v>
      </c>
      <c r="N48" s="20">
        <v>99.8</v>
      </c>
    </row>
    <row r="49" spans="13:14" x14ac:dyDescent="0.25">
      <c r="M49" s="22">
        <v>40878</v>
      </c>
      <c r="N49" s="20">
        <v>99.8</v>
      </c>
    </row>
    <row r="50" spans="13:14" x14ac:dyDescent="0.25">
      <c r="M50" s="22">
        <v>40969</v>
      </c>
      <c r="N50" s="20">
        <v>99.9</v>
      </c>
    </row>
    <row r="51" spans="13:14" x14ac:dyDescent="0.25">
      <c r="M51" s="22">
        <v>41061</v>
      </c>
      <c r="N51" s="20">
        <v>100.4</v>
      </c>
    </row>
    <row r="52" spans="13:14" x14ac:dyDescent="0.25">
      <c r="M52" s="22">
        <v>41153</v>
      </c>
      <c r="N52" s="20">
        <v>101.8</v>
      </c>
    </row>
    <row r="53" spans="13:14" x14ac:dyDescent="0.25">
      <c r="M53" s="22">
        <v>41244</v>
      </c>
      <c r="N53" s="20">
        <v>102</v>
      </c>
    </row>
    <row r="54" spans="13:14" x14ac:dyDescent="0.25">
      <c r="M54" s="22">
        <v>41334</v>
      </c>
      <c r="N54" s="20">
        <v>102.4</v>
      </c>
    </row>
    <row r="55" spans="13:14" x14ac:dyDescent="0.25">
      <c r="M55" s="22">
        <v>41426</v>
      </c>
      <c r="N55" s="20">
        <v>102.8</v>
      </c>
    </row>
    <row r="56" spans="13:14" x14ac:dyDescent="0.25">
      <c r="M56" s="22">
        <v>41518</v>
      </c>
      <c r="N56" s="20">
        <v>104</v>
      </c>
    </row>
    <row r="57" spans="13:14" x14ac:dyDescent="0.25">
      <c r="M57" s="22">
        <v>41609</v>
      </c>
      <c r="N57" s="20">
        <v>104.8</v>
      </c>
    </row>
    <row r="58" spans="13:14" x14ac:dyDescent="0.25">
      <c r="M58" s="22">
        <v>41699</v>
      </c>
      <c r="N58" s="20">
        <v>105.4</v>
      </c>
    </row>
    <row r="59" spans="13:14" x14ac:dyDescent="0.25">
      <c r="M59" s="22">
        <v>41791</v>
      </c>
      <c r="N59" s="20">
        <v>105.9</v>
      </c>
    </row>
    <row r="60" spans="13:14" x14ac:dyDescent="0.25">
      <c r="M60" s="22">
        <v>41883</v>
      </c>
      <c r="N60" s="20">
        <v>106.4</v>
      </c>
    </row>
    <row r="61" spans="13:14" x14ac:dyDescent="0.25">
      <c r="M61" s="22">
        <v>41974</v>
      </c>
      <c r="N61" s="20">
        <v>106.6</v>
      </c>
    </row>
    <row r="62" spans="13:14" x14ac:dyDescent="0.25">
      <c r="M62" s="22">
        <v>42064</v>
      </c>
      <c r="N62" s="20">
        <v>106.8</v>
      </c>
    </row>
    <row r="63" spans="13:14" x14ac:dyDescent="0.25">
      <c r="M63" s="22">
        <v>42156</v>
      </c>
      <c r="N63" s="20">
        <v>107.5</v>
      </c>
    </row>
    <row r="64" spans="13:14" x14ac:dyDescent="0.25">
      <c r="M64" s="22">
        <v>42248</v>
      </c>
      <c r="N64" s="20">
        <v>108</v>
      </c>
    </row>
    <row r="65" spans="13:14" x14ac:dyDescent="0.25">
      <c r="M65" s="22">
        <v>42339</v>
      </c>
      <c r="N65" s="20">
        <v>108.4</v>
      </c>
    </row>
    <row r="66" spans="13:14" x14ac:dyDescent="0.25">
      <c r="M66" s="22">
        <v>42430</v>
      </c>
      <c r="N66" s="20">
        <v>108.2</v>
      </c>
    </row>
    <row r="67" spans="13:14" x14ac:dyDescent="0.25">
      <c r="M67" s="22">
        <v>42522</v>
      </c>
      <c r="N67" s="20">
        <v>108.6</v>
      </c>
    </row>
    <row r="68" spans="13:14" x14ac:dyDescent="0.25">
      <c r="M68" s="22">
        <v>42614</v>
      </c>
      <c r="N68" s="20">
        <v>109.4</v>
      </c>
    </row>
    <row r="69" spans="13:14" x14ac:dyDescent="0.25">
      <c r="M69" s="22">
        <v>42705</v>
      </c>
      <c r="N69" s="20">
        <v>110</v>
      </c>
    </row>
    <row r="70" spans="13:14" x14ac:dyDescent="0.25">
      <c r="M70" s="22">
        <v>42795</v>
      </c>
      <c r="N70" s="20">
        <v>110.5</v>
      </c>
    </row>
    <row r="71" spans="13:14" x14ac:dyDescent="0.25">
      <c r="M71" s="22">
        <v>42887</v>
      </c>
      <c r="N71" s="20">
        <v>110.7</v>
      </c>
    </row>
    <row r="72" spans="13:14" x14ac:dyDescent="0.25">
      <c r="M72" s="22">
        <v>42979</v>
      </c>
      <c r="N72" s="20">
        <v>111.4</v>
      </c>
    </row>
    <row r="73" spans="13:14" x14ac:dyDescent="0.25">
      <c r="M73" s="22">
        <v>43070</v>
      </c>
      <c r="N73" s="20">
        <v>112.1</v>
      </c>
    </row>
    <row r="74" spans="13:14" x14ac:dyDescent="0.25">
      <c r="M74" s="22">
        <v>43160</v>
      </c>
      <c r="N74" s="20">
        <v>112.6</v>
      </c>
    </row>
    <row r="75" spans="13:14" x14ac:dyDescent="0.25">
      <c r="M75" s="22">
        <v>43252</v>
      </c>
      <c r="N75" s="20">
        <v>113</v>
      </c>
    </row>
    <row r="76" spans="13:14" x14ac:dyDescent="0.25">
      <c r="M76" s="22">
        <v>43344</v>
      </c>
      <c r="N76" s="20">
        <v>113.5</v>
      </c>
    </row>
    <row r="77" spans="13:14" x14ac:dyDescent="0.25">
      <c r="M77" s="22">
        <v>43435</v>
      </c>
      <c r="N77" s="20">
        <v>114.1</v>
      </c>
    </row>
    <row r="78" spans="13:14" x14ac:dyDescent="0.25">
      <c r="M78" s="22">
        <v>43525</v>
      </c>
      <c r="N78" s="20">
        <v>114.1</v>
      </c>
    </row>
    <row r="79" spans="13:14" x14ac:dyDescent="0.25">
      <c r="M79" s="22">
        <v>43617</v>
      </c>
      <c r="N79" s="20">
        <v>114.8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workbookViewId="0"/>
    <sheetView workbookViewId="1"/>
  </sheetViews>
  <sheetFormatPr defaultRowHeight="15" x14ac:dyDescent="0.25"/>
  <cols>
    <col min="1" max="1" width="25.85546875" style="5" customWidth="1"/>
    <col min="2" max="4" width="16.5703125" style="5" customWidth="1"/>
    <col min="5" max="5" width="16.7109375" style="5" customWidth="1"/>
    <col min="6" max="6" width="16.5703125" style="5" customWidth="1"/>
    <col min="7" max="7" width="16.7109375" style="5" customWidth="1"/>
    <col min="8" max="16384" width="9.140625" style="5"/>
  </cols>
  <sheetData>
    <row r="1" spans="1:7" x14ac:dyDescent="0.25">
      <c r="A1" s="4" t="s">
        <v>35</v>
      </c>
    </row>
    <row r="4" spans="1:7" x14ac:dyDescent="0.25">
      <c r="A4" s="6" t="s">
        <v>36</v>
      </c>
    </row>
    <row r="6" spans="1:7" ht="20.85" customHeight="1" x14ac:dyDescent="0.25">
      <c r="A6" s="219" t="s">
        <v>37</v>
      </c>
      <c r="B6" s="220" t="s">
        <v>38</v>
      </c>
      <c r="C6" s="220"/>
      <c r="D6" s="220"/>
      <c r="E6" s="220" t="s">
        <v>39</v>
      </c>
      <c r="F6" s="220"/>
      <c r="G6" s="220"/>
    </row>
    <row r="7" spans="1:7" ht="31.35" customHeight="1" x14ac:dyDescent="0.25">
      <c r="A7" s="219"/>
      <c r="B7" s="221" t="s">
        <v>40</v>
      </c>
      <c r="C7" s="221"/>
      <c r="D7" s="221"/>
      <c r="E7" s="222" t="s">
        <v>40</v>
      </c>
      <c r="F7" s="222"/>
      <c r="G7" s="222"/>
    </row>
    <row r="8" spans="1:7" ht="20.65" customHeight="1" x14ac:dyDescent="0.25">
      <c r="A8" s="7" t="s">
        <v>41</v>
      </c>
      <c r="B8" s="8">
        <v>7848085</v>
      </c>
      <c r="C8" s="217">
        <v>216675</v>
      </c>
      <c r="D8" s="217"/>
      <c r="E8" s="9">
        <v>6476155</v>
      </c>
      <c r="F8" s="218">
        <v>136505</v>
      </c>
      <c r="G8" s="218"/>
    </row>
    <row r="9" spans="1:7" ht="19.899999999999999" customHeight="1" x14ac:dyDescent="0.25">
      <c r="A9" s="7" t="s">
        <v>42</v>
      </c>
      <c r="B9" s="8">
        <v>8319000</v>
      </c>
      <c r="C9" s="8">
        <v>289604</v>
      </c>
      <c r="D9" s="8">
        <v>31747</v>
      </c>
      <c r="E9" s="9">
        <v>8217515</v>
      </c>
      <c r="F9" s="10">
        <v>407930</v>
      </c>
      <c r="G9" s="11">
        <v>24226</v>
      </c>
    </row>
    <row r="10" spans="1:7" ht="20.65" customHeight="1" x14ac:dyDescent="0.25">
      <c r="A10" s="7" t="s">
        <v>43</v>
      </c>
      <c r="B10" s="8">
        <v>8059080</v>
      </c>
      <c r="C10" s="8">
        <v>294906</v>
      </c>
      <c r="D10" s="8">
        <v>31268</v>
      </c>
      <c r="E10" s="9">
        <v>7741326</v>
      </c>
      <c r="F10" s="10">
        <v>436471</v>
      </c>
      <c r="G10" s="11">
        <v>23446</v>
      </c>
    </row>
    <row r="11" spans="1:7" ht="19.899999999999999" customHeight="1" x14ac:dyDescent="0.25">
      <c r="A11" s="7" t="s">
        <v>44</v>
      </c>
      <c r="B11" s="8">
        <v>8725853</v>
      </c>
      <c r="C11" s="8">
        <v>297940</v>
      </c>
      <c r="D11" s="8">
        <v>31580</v>
      </c>
      <c r="E11" s="9">
        <v>7625611</v>
      </c>
      <c r="F11" s="10">
        <v>424018</v>
      </c>
      <c r="G11" s="11">
        <v>23169</v>
      </c>
    </row>
    <row r="12" spans="1:7" ht="20.65" customHeight="1" x14ac:dyDescent="0.25">
      <c r="A12" s="7" t="s">
        <v>45</v>
      </c>
      <c r="B12" s="8">
        <v>8537385</v>
      </c>
      <c r="C12" s="8">
        <v>294498</v>
      </c>
      <c r="D12" s="8">
        <v>35079</v>
      </c>
      <c r="E12" s="9">
        <v>7796363</v>
      </c>
      <c r="F12" s="10">
        <v>423650</v>
      </c>
      <c r="G12" s="11">
        <v>26544</v>
      </c>
    </row>
    <row r="13" spans="1:7" ht="19.899999999999999" customHeight="1" x14ac:dyDescent="0.25">
      <c r="A13" s="7" t="s">
        <v>46</v>
      </c>
      <c r="B13" s="8">
        <v>8087424</v>
      </c>
      <c r="C13" s="8">
        <v>267428</v>
      </c>
      <c r="D13" s="8">
        <v>34368</v>
      </c>
      <c r="E13" s="9">
        <v>7525710</v>
      </c>
      <c r="F13" s="10">
        <v>386849</v>
      </c>
      <c r="G13" s="11">
        <v>25831</v>
      </c>
    </row>
    <row r="14" spans="1:7" ht="20.65" customHeight="1" x14ac:dyDescent="0.25">
      <c r="A14" s="7" t="s">
        <v>47</v>
      </c>
      <c r="B14" s="8">
        <v>8043372</v>
      </c>
      <c r="C14" s="8">
        <v>302628</v>
      </c>
      <c r="D14" s="8">
        <v>29353</v>
      </c>
      <c r="E14" s="9">
        <v>8439525</v>
      </c>
      <c r="F14" s="10">
        <v>449694</v>
      </c>
      <c r="G14" s="11">
        <v>23035</v>
      </c>
    </row>
    <row r="15" spans="1:7" ht="20.25" customHeight="1" x14ac:dyDescent="0.25">
      <c r="A15" s="12" t="s">
        <v>48</v>
      </c>
      <c r="B15" s="13"/>
      <c r="C15" s="13"/>
      <c r="D15" s="13"/>
      <c r="E15" s="14">
        <v>8982223</v>
      </c>
      <c r="F15" s="15">
        <v>389365</v>
      </c>
      <c r="G15" s="16"/>
    </row>
    <row r="17" spans="1:7" x14ac:dyDescent="0.25">
      <c r="A17" s="17" t="s">
        <v>49</v>
      </c>
    </row>
    <row r="18" spans="1:7" x14ac:dyDescent="0.25">
      <c r="B18" s="19">
        <f>AVERAGE(B8:B14)</f>
        <v>8231457</v>
      </c>
      <c r="C18" s="19">
        <f>AVERAGE(C9:C14)</f>
        <v>291167.33333333331</v>
      </c>
      <c r="D18" s="19">
        <f>AVERAGE(D9:D14)</f>
        <v>32232.5</v>
      </c>
      <c r="E18" s="19">
        <f>AVERAGE(E8:E15)</f>
        <v>7850553.5</v>
      </c>
      <c r="F18" s="19">
        <f>AVERAGE(F9:F15)</f>
        <v>416853.85714285716</v>
      </c>
      <c r="G18" s="19">
        <f>AVERAGE(G9:G15)</f>
        <v>24375.166666666668</v>
      </c>
    </row>
    <row r="38" spans="1:1" x14ac:dyDescent="0.25">
      <c r="A38" s="18" t="s">
        <v>50</v>
      </c>
    </row>
  </sheetData>
  <mergeCells count="7">
    <mergeCell ref="C8:D8"/>
    <mergeCell ref="F8:G8"/>
    <mergeCell ref="A6:A7"/>
    <mergeCell ref="B6:D6"/>
    <mergeCell ref="E6:G6"/>
    <mergeCell ref="B7:D7"/>
    <mergeCell ref="E7:G7"/>
  </mergeCells>
  <pageMargins left="1.25" right="1.25" top="1" bottom="0.74583299999999997" header="0.25" footer="0.25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9"/>
  <sheetViews>
    <sheetView workbookViewId="0"/>
    <sheetView workbookViewId="1"/>
  </sheetViews>
  <sheetFormatPr defaultRowHeight="15" x14ac:dyDescent="0.25"/>
  <cols>
    <col min="1" max="1" width="11.7109375" customWidth="1"/>
    <col min="3" max="3" width="11" customWidth="1"/>
    <col min="5" max="5" width="12" bestFit="1" customWidth="1"/>
    <col min="6" max="6" width="10" bestFit="1" customWidth="1"/>
    <col min="8" max="8" width="10" bestFit="1" customWidth="1"/>
  </cols>
  <sheetData>
    <row r="2" spans="1:13" x14ac:dyDescent="0.25">
      <c r="C2" t="s">
        <v>0</v>
      </c>
    </row>
    <row r="4" spans="1:13" x14ac:dyDescent="0.25">
      <c r="C4" t="s">
        <v>7</v>
      </c>
      <c r="D4" t="s">
        <v>1</v>
      </c>
      <c r="E4" t="s">
        <v>2</v>
      </c>
      <c r="F4" t="s">
        <v>3</v>
      </c>
      <c r="G4" t="s">
        <v>4</v>
      </c>
      <c r="H4" t="s">
        <v>5</v>
      </c>
      <c r="I4" t="s">
        <v>6</v>
      </c>
      <c r="K4" t="s">
        <v>8</v>
      </c>
      <c r="L4" t="s">
        <v>9</v>
      </c>
      <c r="M4" t="s">
        <v>10</v>
      </c>
    </row>
    <row r="5" spans="1:13" x14ac:dyDescent="0.25">
      <c r="C5">
        <v>121.4093</v>
      </c>
      <c r="D5">
        <v>0.483655</v>
      </c>
      <c r="E5">
        <v>7.8763439999999996</v>
      </c>
      <c r="F5">
        <v>2.41E-5</v>
      </c>
      <c r="G5">
        <v>9.1580999999999996E-2</v>
      </c>
      <c r="H5">
        <v>1.4800000000000001E-5</v>
      </c>
      <c r="I5">
        <v>3.5669999999999999E-3</v>
      </c>
      <c r="K5">
        <v>2</v>
      </c>
      <c r="L5">
        <v>100</v>
      </c>
      <c r="M5">
        <v>60</v>
      </c>
    </row>
    <row r="6" spans="1:13" x14ac:dyDescent="0.25">
      <c r="K6">
        <v>2</v>
      </c>
      <c r="L6">
        <v>100</v>
      </c>
    </row>
    <row r="7" spans="1:13" x14ac:dyDescent="0.25">
      <c r="A7" t="s">
        <v>11</v>
      </c>
      <c r="B7" t="s">
        <v>12</v>
      </c>
      <c r="C7" t="s">
        <v>13</v>
      </c>
      <c r="E7" t="s">
        <v>13</v>
      </c>
      <c r="K7">
        <v>2</v>
      </c>
      <c r="L7">
        <v>90</v>
      </c>
    </row>
    <row r="8" spans="1:13" x14ac:dyDescent="0.25">
      <c r="A8" s="2">
        <v>6</v>
      </c>
      <c r="B8" s="2">
        <v>100</v>
      </c>
      <c r="C8" s="2">
        <f>$C$5*($D$5+($E$5/L5)+($F$5*L5^2)+($G$5*K5)+($H$5*K5^2)+($I$5*$M$5))</f>
        <v>145.77124643065201</v>
      </c>
      <c r="K8">
        <v>3</v>
      </c>
      <c r="L8">
        <v>100</v>
      </c>
    </row>
    <row r="9" spans="1:13" x14ac:dyDescent="0.25">
      <c r="A9" s="2">
        <v>2</v>
      </c>
      <c r="B9" s="2">
        <v>100</v>
      </c>
      <c r="C9" s="2">
        <f>$C$5*($D$5+($E$5/L6)+($F$5*L6^2)+($G$5*K6)+($H$5*K6^2)+($I$5*$M$5))</f>
        <v>145.77124643065201</v>
      </c>
      <c r="D9" s="1"/>
      <c r="E9" s="3">
        <f>C8-C9</f>
        <v>0</v>
      </c>
      <c r="K9">
        <v>3</v>
      </c>
      <c r="L9">
        <v>90</v>
      </c>
    </row>
    <row r="10" spans="1:13" x14ac:dyDescent="0.25">
      <c r="A10">
        <v>2</v>
      </c>
      <c r="B10">
        <v>90</v>
      </c>
      <c r="C10">
        <f t="shared" ref="C10:C13" si="0">$C$5*($D$5+($E$5/L7)+($F$5*L7^2)+($G$5*K7)+($H$5*K7^2)+($I$5*$M$5))</f>
        <v>141.27442726320666</v>
      </c>
      <c r="E10" s="3"/>
      <c r="K10">
        <v>4</v>
      </c>
      <c r="L10">
        <v>90</v>
      </c>
    </row>
    <row r="11" spans="1:13" x14ac:dyDescent="0.25">
      <c r="A11">
        <v>3</v>
      </c>
      <c r="B11">
        <v>100</v>
      </c>
      <c r="C11">
        <f t="shared" si="0"/>
        <v>156.89901582215199</v>
      </c>
      <c r="E11" s="3"/>
    </row>
    <row r="12" spans="1:13" x14ac:dyDescent="0.25">
      <c r="A12">
        <v>3</v>
      </c>
      <c r="B12">
        <v>90</v>
      </c>
      <c r="C12">
        <f t="shared" si="0"/>
        <v>152.4021966547067</v>
      </c>
      <c r="D12" s="1"/>
      <c r="E12" s="3"/>
      <c r="F12" s="1"/>
    </row>
    <row r="13" spans="1:13" x14ac:dyDescent="0.25">
      <c r="A13">
        <v>4</v>
      </c>
      <c r="B13">
        <v>90</v>
      </c>
      <c r="C13">
        <f t="shared" si="0"/>
        <v>163.53355976148666</v>
      </c>
      <c r="D13" s="1"/>
      <c r="E13" s="3">
        <f>C8-C13</f>
        <v>-17.762313330834644</v>
      </c>
      <c r="F13" s="1">
        <f>(E9-E13)/100</f>
        <v>0.17762313330834645</v>
      </c>
    </row>
    <row r="14" spans="1:13" x14ac:dyDescent="0.25">
      <c r="D14" s="1"/>
    </row>
    <row r="16" spans="1:13" x14ac:dyDescent="0.25">
      <c r="B16" t="s">
        <v>14</v>
      </c>
      <c r="D16">
        <v>241</v>
      </c>
      <c r="E16" t="s">
        <v>16</v>
      </c>
    </row>
    <row r="17" spans="2:4" x14ac:dyDescent="0.25">
      <c r="B17" t="s">
        <v>15</v>
      </c>
      <c r="D17">
        <v>203</v>
      </c>
    </row>
    <row r="18" spans="2:4" x14ac:dyDescent="0.25">
      <c r="D18">
        <f>D16-D17</f>
        <v>38</v>
      </c>
    </row>
    <row r="19" spans="2:4" x14ac:dyDescent="0.25">
      <c r="C19" t="s">
        <v>17</v>
      </c>
      <c r="D19">
        <f>284*D18/100</f>
        <v>107.92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workbookViewId="0"/>
    <sheetView workbookViewId="1"/>
  </sheetViews>
  <sheetFormatPr defaultRowHeight="14.25" x14ac:dyDescent="0.2"/>
  <cols>
    <col min="1" max="1" width="15.5703125" style="81" customWidth="1"/>
    <col min="2" max="2" width="11.7109375" style="81" customWidth="1"/>
    <col min="3" max="3" width="12.140625" style="81" customWidth="1"/>
    <col min="4" max="4" width="14.42578125" style="81" customWidth="1"/>
    <col min="5" max="6" width="13.28515625" style="81" customWidth="1"/>
    <col min="7" max="7" width="12.140625" style="81" customWidth="1"/>
    <col min="8" max="8" width="13.28515625" style="81" customWidth="1"/>
    <col min="9" max="9" width="14.42578125" style="81" customWidth="1"/>
    <col min="10" max="10" width="13.28515625" style="81" customWidth="1"/>
    <col min="11" max="11" width="11.28515625" style="81" bestFit="1" customWidth="1"/>
    <col min="12" max="256" width="9.140625" style="81"/>
    <col min="257" max="257" width="15.5703125" style="81" customWidth="1"/>
    <col min="258" max="258" width="11.7109375" style="81" customWidth="1"/>
    <col min="259" max="259" width="12.140625" style="81" customWidth="1"/>
    <col min="260" max="260" width="14.42578125" style="81" customWidth="1"/>
    <col min="261" max="262" width="13.28515625" style="81" customWidth="1"/>
    <col min="263" max="263" width="12.140625" style="81" customWidth="1"/>
    <col min="264" max="264" width="13.28515625" style="81" customWidth="1"/>
    <col min="265" max="265" width="14.42578125" style="81" customWidth="1"/>
    <col min="266" max="266" width="13.28515625" style="81" customWidth="1"/>
    <col min="267" max="267" width="11.28515625" style="81" bestFit="1" customWidth="1"/>
    <col min="268" max="512" width="9.140625" style="81"/>
    <col min="513" max="513" width="15.5703125" style="81" customWidth="1"/>
    <col min="514" max="514" width="11.7109375" style="81" customWidth="1"/>
    <col min="515" max="515" width="12.140625" style="81" customWidth="1"/>
    <col min="516" max="516" width="14.42578125" style="81" customWidth="1"/>
    <col min="517" max="518" width="13.28515625" style="81" customWidth="1"/>
    <col min="519" max="519" width="12.140625" style="81" customWidth="1"/>
    <col min="520" max="520" width="13.28515625" style="81" customWidth="1"/>
    <col min="521" max="521" width="14.42578125" style="81" customWidth="1"/>
    <col min="522" max="522" width="13.28515625" style="81" customWidth="1"/>
    <col min="523" max="523" width="11.28515625" style="81" bestFit="1" customWidth="1"/>
    <col min="524" max="768" width="9.140625" style="81"/>
    <col min="769" max="769" width="15.5703125" style="81" customWidth="1"/>
    <col min="770" max="770" width="11.7109375" style="81" customWidth="1"/>
    <col min="771" max="771" width="12.140625" style="81" customWidth="1"/>
    <col min="772" max="772" width="14.42578125" style="81" customWidth="1"/>
    <col min="773" max="774" width="13.28515625" style="81" customWidth="1"/>
    <col min="775" max="775" width="12.140625" style="81" customWidth="1"/>
    <col min="776" max="776" width="13.28515625" style="81" customWidth="1"/>
    <col min="777" max="777" width="14.42578125" style="81" customWidth="1"/>
    <col min="778" max="778" width="13.28515625" style="81" customWidth="1"/>
    <col min="779" max="779" width="11.28515625" style="81" bestFit="1" customWidth="1"/>
    <col min="780" max="1024" width="9.140625" style="81"/>
    <col min="1025" max="1025" width="15.5703125" style="81" customWidth="1"/>
    <col min="1026" max="1026" width="11.7109375" style="81" customWidth="1"/>
    <col min="1027" max="1027" width="12.140625" style="81" customWidth="1"/>
    <col min="1028" max="1028" width="14.42578125" style="81" customWidth="1"/>
    <col min="1029" max="1030" width="13.28515625" style="81" customWidth="1"/>
    <col min="1031" max="1031" width="12.140625" style="81" customWidth="1"/>
    <col min="1032" max="1032" width="13.28515625" style="81" customWidth="1"/>
    <col min="1033" max="1033" width="14.42578125" style="81" customWidth="1"/>
    <col min="1034" max="1034" width="13.28515625" style="81" customWidth="1"/>
    <col min="1035" max="1035" width="11.28515625" style="81" bestFit="1" customWidth="1"/>
    <col min="1036" max="1280" width="9.140625" style="81"/>
    <col min="1281" max="1281" width="15.5703125" style="81" customWidth="1"/>
    <col min="1282" max="1282" width="11.7109375" style="81" customWidth="1"/>
    <col min="1283" max="1283" width="12.140625" style="81" customWidth="1"/>
    <col min="1284" max="1284" width="14.42578125" style="81" customWidth="1"/>
    <col min="1285" max="1286" width="13.28515625" style="81" customWidth="1"/>
    <col min="1287" max="1287" width="12.140625" style="81" customWidth="1"/>
    <col min="1288" max="1288" width="13.28515625" style="81" customWidth="1"/>
    <col min="1289" max="1289" width="14.42578125" style="81" customWidth="1"/>
    <col min="1290" max="1290" width="13.28515625" style="81" customWidth="1"/>
    <col min="1291" max="1291" width="11.28515625" style="81" bestFit="1" customWidth="1"/>
    <col min="1292" max="1536" width="9.140625" style="81"/>
    <col min="1537" max="1537" width="15.5703125" style="81" customWidth="1"/>
    <col min="1538" max="1538" width="11.7109375" style="81" customWidth="1"/>
    <col min="1539" max="1539" width="12.140625" style="81" customWidth="1"/>
    <col min="1540" max="1540" width="14.42578125" style="81" customWidth="1"/>
    <col min="1541" max="1542" width="13.28515625" style="81" customWidth="1"/>
    <col min="1543" max="1543" width="12.140625" style="81" customWidth="1"/>
    <col min="1544" max="1544" width="13.28515625" style="81" customWidth="1"/>
    <col min="1545" max="1545" width="14.42578125" style="81" customWidth="1"/>
    <col min="1546" max="1546" width="13.28515625" style="81" customWidth="1"/>
    <col min="1547" max="1547" width="11.28515625" style="81" bestFit="1" customWidth="1"/>
    <col min="1548" max="1792" width="9.140625" style="81"/>
    <col min="1793" max="1793" width="15.5703125" style="81" customWidth="1"/>
    <col min="1794" max="1794" width="11.7109375" style="81" customWidth="1"/>
    <col min="1795" max="1795" width="12.140625" style="81" customWidth="1"/>
    <col min="1796" max="1796" width="14.42578125" style="81" customWidth="1"/>
    <col min="1797" max="1798" width="13.28515625" style="81" customWidth="1"/>
    <col min="1799" max="1799" width="12.140625" style="81" customWidth="1"/>
    <col min="1800" max="1800" width="13.28515625" style="81" customWidth="1"/>
    <col min="1801" max="1801" width="14.42578125" style="81" customWidth="1"/>
    <col min="1802" max="1802" width="13.28515625" style="81" customWidth="1"/>
    <col min="1803" max="1803" width="11.28515625" style="81" bestFit="1" customWidth="1"/>
    <col min="1804" max="2048" width="9.140625" style="81"/>
    <col min="2049" max="2049" width="15.5703125" style="81" customWidth="1"/>
    <col min="2050" max="2050" width="11.7109375" style="81" customWidth="1"/>
    <col min="2051" max="2051" width="12.140625" style="81" customWidth="1"/>
    <col min="2052" max="2052" width="14.42578125" style="81" customWidth="1"/>
    <col min="2053" max="2054" width="13.28515625" style="81" customWidth="1"/>
    <col min="2055" max="2055" width="12.140625" style="81" customWidth="1"/>
    <col min="2056" max="2056" width="13.28515625" style="81" customWidth="1"/>
    <col min="2057" max="2057" width="14.42578125" style="81" customWidth="1"/>
    <col min="2058" max="2058" width="13.28515625" style="81" customWidth="1"/>
    <col min="2059" max="2059" width="11.28515625" style="81" bestFit="1" customWidth="1"/>
    <col min="2060" max="2304" width="9.140625" style="81"/>
    <col min="2305" max="2305" width="15.5703125" style="81" customWidth="1"/>
    <col min="2306" max="2306" width="11.7109375" style="81" customWidth="1"/>
    <col min="2307" max="2307" width="12.140625" style="81" customWidth="1"/>
    <col min="2308" max="2308" width="14.42578125" style="81" customWidth="1"/>
    <col min="2309" max="2310" width="13.28515625" style="81" customWidth="1"/>
    <col min="2311" max="2311" width="12.140625" style="81" customWidth="1"/>
    <col min="2312" max="2312" width="13.28515625" style="81" customWidth="1"/>
    <col min="2313" max="2313" width="14.42578125" style="81" customWidth="1"/>
    <col min="2314" max="2314" width="13.28515625" style="81" customWidth="1"/>
    <col min="2315" max="2315" width="11.28515625" style="81" bestFit="1" customWidth="1"/>
    <col min="2316" max="2560" width="9.140625" style="81"/>
    <col min="2561" max="2561" width="15.5703125" style="81" customWidth="1"/>
    <col min="2562" max="2562" width="11.7109375" style="81" customWidth="1"/>
    <col min="2563" max="2563" width="12.140625" style="81" customWidth="1"/>
    <col min="2564" max="2564" width="14.42578125" style="81" customWidth="1"/>
    <col min="2565" max="2566" width="13.28515625" style="81" customWidth="1"/>
    <col min="2567" max="2567" width="12.140625" style="81" customWidth="1"/>
    <col min="2568" max="2568" width="13.28515625" style="81" customWidth="1"/>
    <col min="2569" max="2569" width="14.42578125" style="81" customWidth="1"/>
    <col min="2570" max="2570" width="13.28515625" style="81" customWidth="1"/>
    <col min="2571" max="2571" width="11.28515625" style="81" bestFit="1" customWidth="1"/>
    <col min="2572" max="2816" width="9.140625" style="81"/>
    <col min="2817" max="2817" width="15.5703125" style="81" customWidth="1"/>
    <col min="2818" max="2818" width="11.7109375" style="81" customWidth="1"/>
    <col min="2819" max="2819" width="12.140625" style="81" customWidth="1"/>
    <col min="2820" max="2820" width="14.42578125" style="81" customWidth="1"/>
    <col min="2821" max="2822" width="13.28515625" style="81" customWidth="1"/>
    <col min="2823" max="2823" width="12.140625" style="81" customWidth="1"/>
    <col min="2824" max="2824" width="13.28515625" style="81" customWidth="1"/>
    <col min="2825" max="2825" width="14.42578125" style="81" customWidth="1"/>
    <col min="2826" max="2826" width="13.28515625" style="81" customWidth="1"/>
    <col min="2827" max="2827" width="11.28515625" style="81" bestFit="1" customWidth="1"/>
    <col min="2828" max="3072" width="9.140625" style="81"/>
    <col min="3073" max="3073" width="15.5703125" style="81" customWidth="1"/>
    <col min="3074" max="3074" width="11.7109375" style="81" customWidth="1"/>
    <col min="3075" max="3075" width="12.140625" style="81" customWidth="1"/>
    <col min="3076" max="3076" width="14.42578125" style="81" customWidth="1"/>
    <col min="3077" max="3078" width="13.28515625" style="81" customWidth="1"/>
    <col min="3079" max="3079" width="12.140625" style="81" customWidth="1"/>
    <col min="3080" max="3080" width="13.28515625" style="81" customWidth="1"/>
    <col min="3081" max="3081" width="14.42578125" style="81" customWidth="1"/>
    <col min="3082" max="3082" width="13.28515625" style="81" customWidth="1"/>
    <col min="3083" max="3083" width="11.28515625" style="81" bestFit="1" customWidth="1"/>
    <col min="3084" max="3328" width="9.140625" style="81"/>
    <col min="3329" max="3329" width="15.5703125" style="81" customWidth="1"/>
    <col min="3330" max="3330" width="11.7109375" style="81" customWidth="1"/>
    <col min="3331" max="3331" width="12.140625" style="81" customWidth="1"/>
    <col min="3332" max="3332" width="14.42578125" style="81" customWidth="1"/>
    <col min="3333" max="3334" width="13.28515625" style="81" customWidth="1"/>
    <col min="3335" max="3335" width="12.140625" style="81" customWidth="1"/>
    <col min="3336" max="3336" width="13.28515625" style="81" customWidth="1"/>
    <col min="3337" max="3337" width="14.42578125" style="81" customWidth="1"/>
    <col min="3338" max="3338" width="13.28515625" style="81" customWidth="1"/>
    <col min="3339" max="3339" width="11.28515625" style="81" bestFit="1" customWidth="1"/>
    <col min="3340" max="3584" width="9.140625" style="81"/>
    <col min="3585" max="3585" width="15.5703125" style="81" customWidth="1"/>
    <col min="3586" max="3586" width="11.7109375" style="81" customWidth="1"/>
    <col min="3587" max="3587" width="12.140625" style="81" customWidth="1"/>
    <col min="3588" max="3588" width="14.42578125" style="81" customWidth="1"/>
    <col min="3589" max="3590" width="13.28515625" style="81" customWidth="1"/>
    <col min="3591" max="3591" width="12.140625" style="81" customWidth="1"/>
    <col min="3592" max="3592" width="13.28515625" style="81" customWidth="1"/>
    <col min="3593" max="3593" width="14.42578125" style="81" customWidth="1"/>
    <col min="3594" max="3594" width="13.28515625" style="81" customWidth="1"/>
    <col min="3595" max="3595" width="11.28515625" style="81" bestFit="1" customWidth="1"/>
    <col min="3596" max="3840" width="9.140625" style="81"/>
    <col min="3841" max="3841" width="15.5703125" style="81" customWidth="1"/>
    <col min="3842" max="3842" width="11.7109375" style="81" customWidth="1"/>
    <col min="3843" max="3843" width="12.140625" style="81" customWidth="1"/>
    <col min="3844" max="3844" width="14.42578125" style="81" customWidth="1"/>
    <col min="3845" max="3846" width="13.28515625" style="81" customWidth="1"/>
    <col min="3847" max="3847" width="12.140625" style="81" customWidth="1"/>
    <col min="3848" max="3848" width="13.28515625" style="81" customWidth="1"/>
    <col min="3849" max="3849" width="14.42578125" style="81" customWidth="1"/>
    <col min="3850" max="3850" width="13.28515625" style="81" customWidth="1"/>
    <col min="3851" max="3851" width="11.28515625" style="81" bestFit="1" customWidth="1"/>
    <col min="3852" max="4096" width="9.140625" style="81"/>
    <col min="4097" max="4097" width="15.5703125" style="81" customWidth="1"/>
    <col min="4098" max="4098" width="11.7109375" style="81" customWidth="1"/>
    <col min="4099" max="4099" width="12.140625" style="81" customWidth="1"/>
    <col min="4100" max="4100" width="14.42578125" style="81" customWidth="1"/>
    <col min="4101" max="4102" width="13.28515625" style="81" customWidth="1"/>
    <col min="4103" max="4103" width="12.140625" style="81" customWidth="1"/>
    <col min="4104" max="4104" width="13.28515625" style="81" customWidth="1"/>
    <col min="4105" max="4105" width="14.42578125" style="81" customWidth="1"/>
    <col min="4106" max="4106" width="13.28515625" style="81" customWidth="1"/>
    <col min="4107" max="4107" width="11.28515625" style="81" bestFit="1" customWidth="1"/>
    <col min="4108" max="4352" width="9.140625" style="81"/>
    <col min="4353" max="4353" width="15.5703125" style="81" customWidth="1"/>
    <col min="4354" max="4354" width="11.7109375" style="81" customWidth="1"/>
    <col min="4355" max="4355" width="12.140625" style="81" customWidth="1"/>
    <col min="4356" max="4356" width="14.42578125" style="81" customWidth="1"/>
    <col min="4357" max="4358" width="13.28515625" style="81" customWidth="1"/>
    <col min="4359" max="4359" width="12.140625" style="81" customWidth="1"/>
    <col min="4360" max="4360" width="13.28515625" style="81" customWidth="1"/>
    <col min="4361" max="4361" width="14.42578125" style="81" customWidth="1"/>
    <col min="4362" max="4362" width="13.28515625" style="81" customWidth="1"/>
    <col min="4363" max="4363" width="11.28515625" style="81" bestFit="1" customWidth="1"/>
    <col min="4364" max="4608" width="9.140625" style="81"/>
    <col min="4609" max="4609" width="15.5703125" style="81" customWidth="1"/>
    <col min="4610" max="4610" width="11.7109375" style="81" customWidth="1"/>
    <col min="4611" max="4611" width="12.140625" style="81" customWidth="1"/>
    <col min="4612" max="4612" width="14.42578125" style="81" customWidth="1"/>
    <col min="4613" max="4614" width="13.28515625" style="81" customWidth="1"/>
    <col min="4615" max="4615" width="12.140625" style="81" customWidth="1"/>
    <col min="4616" max="4616" width="13.28515625" style="81" customWidth="1"/>
    <col min="4617" max="4617" width="14.42578125" style="81" customWidth="1"/>
    <col min="4618" max="4618" width="13.28515625" style="81" customWidth="1"/>
    <col min="4619" max="4619" width="11.28515625" style="81" bestFit="1" customWidth="1"/>
    <col min="4620" max="4864" width="9.140625" style="81"/>
    <col min="4865" max="4865" width="15.5703125" style="81" customWidth="1"/>
    <col min="4866" max="4866" width="11.7109375" style="81" customWidth="1"/>
    <col min="4867" max="4867" width="12.140625" style="81" customWidth="1"/>
    <col min="4868" max="4868" width="14.42578125" style="81" customWidth="1"/>
    <col min="4869" max="4870" width="13.28515625" style="81" customWidth="1"/>
    <col min="4871" max="4871" width="12.140625" style="81" customWidth="1"/>
    <col min="4872" max="4872" width="13.28515625" style="81" customWidth="1"/>
    <col min="4873" max="4873" width="14.42578125" style="81" customWidth="1"/>
    <col min="4874" max="4874" width="13.28515625" style="81" customWidth="1"/>
    <col min="4875" max="4875" width="11.28515625" style="81" bestFit="1" customWidth="1"/>
    <col min="4876" max="5120" width="9.140625" style="81"/>
    <col min="5121" max="5121" width="15.5703125" style="81" customWidth="1"/>
    <col min="5122" max="5122" width="11.7109375" style="81" customWidth="1"/>
    <col min="5123" max="5123" width="12.140625" style="81" customWidth="1"/>
    <col min="5124" max="5124" width="14.42578125" style="81" customWidth="1"/>
    <col min="5125" max="5126" width="13.28515625" style="81" customWidth="1"/>
    <col min="5127" max="5127" width="12.140625" style="81" customWidth="1"/>
    <col min="5128" max="5128" width="13.28515625" style="81" customWidth="1"/>
    <col min="5129" max="5129" width="14.42578125" style="81" customWidth="1"/>
    <col min="5130" max="5130" width="13.28515625" style="81" customWidth="1"/>
    <col min="5131" max="5131" width="11.28515625" style="81" bestFit="1" customWidth="1"/>
    <col min="5132" max="5376" width="9.140625" style="81"/>
    <col min="5377" max="5377" width="15.5703125" style="81" customWidth="1"/>
    <col min="5378" max="5378" width="11.7109375" style="81" customWidth="1"/>
    <col min="5379" max="5379" width="12.140625" style="81" customWidth="1"/>
    <col min="5380" max="5380" width="14.42578125" style="81" customWidth="1"/>
    <col min="5381" max="5382" width="13.28515625" style="81" customWidth="1"/>
    <col min="5383" max="5383" width="12.140625" style="81" customWidth="1"/>
    <col min="5384" max="5384" width="13.28515625" style="81" customWidth="1"/>
    <col min="5385" max="5385" width="14.42578125" style="81" customWidth="1"/>
    <col min="5386" max="5386" width="13.28515625" style="81" customWidth="1"/>
    <col min="5387" max="5387" width="11.28515625" style="81" bestFit="1" customWidth="1"/>
    <col min="5388" max="5632" width="9.140625" style="81"/>
    <col min="5633" max="5633" width="15.5703125" style="81" customWidth="1"/>
    <col min="5634" max="5634" width="11.7109375" style="81" customWidth="1"/>
    <col min="5635" max="5635" width="12.140625" style="81" customWidth="1"/>
    <col min="5636" max="5636" width="14.42578125" style="81" customWidth="1"/>
    <col min="5637" max="5638" width="13.28515625" style="81" customWidth="1"/>
    <col min="5639" max="5639" width="12.140625" style="81" customWidth="1"/>
    <col min="5640" max="5640" width="13.28515625" style="81" customWidth="1"/>
    <col min="5641" max="5641" width="14.42578125" style="81" customWidth="1"/>
    <col min="5642" max="5642" width="13.28515625" style="81" customWidth="1"/>
    <col min="5643" max="5643" width="11.28515625" style="81" bestFit="1" customWidth="1"/>
    <col min="5644" max="5888" width="9.140625" style="81"/>
    <col min="5889" max="5889" width="15.5703125" style="81" customWidth="1"/>
    <col min="5890" max="5890" width="11.7109375" style="81" customWidth="1"/>
    <col min="5891" max="5891" width="12.140625" style="81" customWidth="1"/>
    <col min="5892" max="5892" width="14.42578125" style="81" customWidth="1"/>
    <col min="5893" max="5894" width="13.28515625" style="81" customWidth="1"/>
    <col min="5895" max="5895" width="12.140625" style="81" customWidth="1"/>
    <col min="5896" max="5896" width="13.28515625" style="81" customWidth="1"/>
    <col min="5897" max="5897" width="14.42578125" style="81" customWidth="1"/>
    <col min="5898" max="5898" width="13.28515625" style="81" customWidth="1"/>
    <col min="5899" max="5899" width="11.28515625" style="81" bestFit="1" customWidth="1"/>
    <col min="5900" max="6144" width="9.140625" style="81"/>
    <col min="6145" max="6145" width="15.5703125" style="81" customWidth="1"/>
    <col min="6146" max="6146" width="11.7109375" style="81" customWidth="1"/>
    <col min="6147" max="6147" width="12.140625" style="81" customWidth="1"/>
    <col min="6148" max="6148" width="14.42578125" style="81" customWidth="1"/>
    <col min="6149" max="6150" width="13.28515625" style="81" customWidth="1"/>
    <col min="6151" max="6151" width="12.140625" style="81" customWidth="1"/>
    <col min="6152" max="6152" width="13.28515625" style="81" customWidth="1"/>
    <col min="6153" max="6153" width="14.42578125" style="81" customWidth="1"/>
    <col min="6154" max="6154" width="13.28515625" style="81" customWidth="1"/>
    <col min="6155" max="6155" width="11.28515625" style="81" bestFit="1" customWidth="1"/>
    <col min="6156" max="6400" width="9.140625" style="81"/>
    <col min="6401" max="6401" width="15.5703125" style="81" customWidth="1"/>
    <col min="6402" max="6402" width="11.7109375" style="81" customWidth="1"/>
    <col min="6403" max="6403" width="12.140625" style="81" customWidth="1"/>
    <col min="6404" max="6404" width="14.42578125" style="81" customWidth="1"/>
    <col min="6405" max="6406" width="13.28515625" style="81" customWidth="1"/>
    <col min="6407" max="6407" width="12.140625" style="81" customWidth="1"/>
    <col min="6408" max="6408" width="13.28515625" style="81" customWidth="1"/>
    <col min="6409" max="6409" width="14.42578125" style="81" customWidth="1"/>
    <col min="6410" max="6410" width="13.28515625" style="81" customWidth="1"/>
    <col min="6411" max="6411" width="11.28515625" style="81" bestFit="1" customWidth="1"/>
    <col min="6412" max="6656" width="9.140625" style="81"/>
    <col min="6657" max="6657" width="15.5703125" style="81" customWidth="1"/>
    <col min="6658" max="6658" width="11.7109375" style="81" customWidth="1"/>
    <col min="6659" max="6659" width="12.140625" style="81" customWidth="1"/>
    <col min="6660" max="6660" width="14.42578125" style="81" customWidth="1"/>
    <col min="6661" max="6662" width="13.28515625" style="81" customWidth="1"/>
    <col min="6663" max="6663" width="12.140625" style="81" customWidth="1"/>
    <col min="6664" max="6664" width="13.28515625" style="81" customWidth="1"/>
    <col min="6665" max="6665" width="14.42578125" style="81" customWidth="1"/>
    <col min="6666" max="6666" width="13.28515625" style="81" customWidth="1"/>
    <col min="6667" max="6667" width="11.28515625" style="81" bestFit="1" customWidth="1"/>
    <col min="6668" max="6912" width="9.140625" style="81"/>
    <col min="6913" max="6913" width="15.5703125" style="81" customWidth="1"/>
    <col min="6914" max="6914" width="11.7109375" style="81" customWidth="1"/>
    <col min="6915" max="6915" width="12.140625" style="81" customWidth="1"/>
    <col min="6916" max="6916" width="14.42578125" style="81" customWidth="1"/>
    <col min="6917" max="6918" width="13.28515625" style="81" customWidth="1"/>
    <col min="6919" max="6919" width="12.140625" style="81" customWidth="1"/>
    <col min="6920" max="6920" width="13.28515625" style="81" customWidth="1"/>
    <col min="6921" max="6921" width="14.42578125" style="81" customWidth="1"/>
    <col min="6922" max="6922" width="13.28515625" style="81" customWidth="1"/>
    <col min="6923" max="6923" width="11.28515625" style="81" bestFit="1" customWidth="1"/>
    <col min="6924" max="7168" width="9.140625" style="81"/>
    <col min="7169" max="7169" width="15.5703125" style="81" customWidth="1"/>
    <col min="7170" max="7170" width="11.7109375" style="81" customWidth="1"/>
    <col min="7171" max="7171" width="12.140625" style="81" customWidth="1"/>
    <col min="7172" max="7172" width="14.42578125" style="81" customWidth="1"/>
    <col min="7173" max="7174" width="13.28515625" style="81" customWidth="1"/>
    <col min="7175" max="7175" width="12.140625" style="81" customWidth="1"/>
    <col min="7176" max="7176" width="13.28515625" style="81" customWidth="1"/>
    <col min="7177" max="7177" width="14.42578125" style="81" customWidth="1"/>
    <col min="7178" max="7178" width="13.28515625" style="81" customWidth="1"/>
    <col min="7179" max="7179" width="11.28515625" style="81" bestFit="1" customWidth="1"/>
    <col min="7180" max="7424" width="9.140625" style="81"/>
    <col min="7425" max="7425" width="15.5703125" style="81" customWidth="1"/>
    <col min="7426" max="7426" width="11.7109375" style="81" customWidth="1"/>
    <col min="7427" max="7427" width="12.140625" style="81" customWidth="1"/>
    <col min="7428" max="7428" width="14.42578125" style="81" customWidth="1"/>
    <col min="7429" max="7430" width="13.28515625" style="81" customWidth="1"/>
    <col min="7431" max="7431" width="12.140625" style="81" customWidth="1"/>
    <col min="7432" max="7432" width="13.28515625" style="81" customWidth="1"/>
    <col min="7433" max="7433" width="14.42578125" style="81" customWidth="1"/>
    <col min="7434" max="7434" width="13.28515625" style="81" customWidth="1"/>
    <col min="7435" max="7435" width="11.28515625" style="81" bestFit="1" customWidth="1"/>
    <col min="7436" max="7680" width="9.140625" style="81"/>
    <col min="7681" max="7681" width="15.5703125" style="81" customWidth="1"/>
    <col min="7682" max="7682" width="11.7109375" style="81" customWidth="1"/>
    <col min="7683" max="7683" width="12.140625" style="81" customWidth="1"/>
    <col min="7684" max="7684" width="14.42578125" style="81" customWidth="1"/>
    <col min="7685" max="7686" width="13.28515625" style="81" customWidth="1"/>
    <col min="7687" max="7687" width="12.140625" style="81" customWidth="1"/>
    <col min="7688" max="7688" width="13.28515625" style="81" customWidth="1"/>
    <col min="7689" max="7689" width="14.42578125" style="81" customWidth="1"/>
    <col min="7690" max="7690" width="13.28515625" style="81" customWidth="1"/>
    <col min="7691" max="7691" width="11.28515625" style="81" bestFit="1" customWidth="1"/>
    <col min="7692" max="7936" width="9.140625" style="81"/>
    <col min="7937" max="7937" width="15.5703125" style="81" customWidth="1"/>
    <col min="7938" max="7938" width="11.7109375" style="81" customWidth="1"/>
    <col min="7939" max="7939" width="12.140625" style="81" customWidth="1"/>
    <col min="7940" max="7940" width="14.42578125" style="81" customWidth="1"/>
    <col min="7941" max="7942" width="13.28515625" style="81" customWidth="1"/>
    <col min="7943" max="7943" width="12.140625" style="81" customWidth="1"/>
    <col min="7944" max="7944" width="13.28515625" style="81" customWidth="1"/>
    <col min="7945" max="7945" width="14.42578125" style="81" customWidth="1"/>
    <col min="7946" max="7946" width="13.28515625" style="81" customWidth="1"/>
    <col min="7947" max="7947" width="11.28515625" style="81" bestFit="1" customWidth="1"/>
    <col min="7948" max="8192" width="9.140625" style="81"/>
    <col min="8193" max="8193" width="15.5703125" style="81" customWidth="1"/>
    <col min="8194" max="8194" width="11.7109375" style="81" customWidth="1"/>
    <col min="8195" max="8195" width="12.140625" style="81" customWidth="1"/>
    <col min="8196" max="8196" width="14.42578125" style="81" customWidth="1"/>
    <col min="8197" max="8198" width="13.28515625" style="81" customWidth="1"/>
    <col min="8199" max="8199" width="12.140625" style="81" customWidth="1"/>
    <col min="8200" max="8200" width="13.28515625" style="81" customWidth="1"/>
    <col min="8201" max="8201" width="14.42578125" style="81" customWidth="1"/>
    <col min="8202" max="8202" width="13.28515625" style="81" customWidth="1"/>
    <col min="8203" max="8203" width="11.28515625" style="81" bestFit="1" customWidth="1"/>
    <col min="8204" max="8448" width="9.140625" style="81"/>
    <col min="8449" max="8449" width="15.5703125" style="81" customWidth="1"/>
    <col min="8450" max="8450" width="11.7109375" style="81" customWidth="1"/>
    <col min="8451" max="8451" width="12.140625" style="81" customWidth="1"/>
    <col min="8452" max="8452" width="14.42578125" style="81" customWidth="1"/>
    <col min="8453" max="8454" width="13.28515625" style="81" customWidth="1"/>
    <col min="8455" max="8455" width="12.140625" style="81" customWidth="1"/>
    <col min="8456" max="8456" width="13.28515625" style="81" customWidth="1"/>
    <col min="8457" max="8457" width="14.42578125" style="81" customWidth="1"/>
    <col min="8458" max="8458" width="13.28515625" style="81" customWidth="1"/>
    <col min="8459" max="8459" width="11.28515625" style="81" bestFit="1" customWidth="1"/>
    <col min="8460" max="8704" width="9.140625" style="81"/>
    <col min="8705" max="8705" width="15.5703125" style="81" customWidth="1"/>
    <col min="8706" max="8706" width="11.7109375" style="81" customWidth="1"/>
    <col min="8707" max="8707" width="12.140625" style="81" customWidth="1"/>
    <col min="8708" max="8708" width="14.42578125" style="81" customWidth="1"/>
    <col min="8709" max="8710" width="13.28515625" style="81" customWidth="1"/>
    <col min="8711" max="8711" width="12.140625" style="81" customWidth="1"/>
    <col min="8712" max="8712" width="13.28515625" style="81" customWidth="1"/>
    <col min="8713" max="8713" width="14.42578125" style="81" customWidth="1"/>
    <col min="8714" max="8714" width="13.28515625" style="81" customWidth="1"/>
    <col min="8715" max="8715" width="11.28515625" style="81" bestFit="1" customWidth="1"/>
    <col min="8716" max="8960" width="9.140625" style="81"/>
    <col min="8961" max="8961" width="15.5703125" style="81" customWidth="1"/>
    <col min="8962" max="8962" width="11.7109375" style="81" customWidth="1"/>
    <col min="8963" max="8963" width="12.140625" style="81" customWidth="1"/>
    <col min="8964" max="8964" width="14.42578125" style="81" customWidth="1"/>
    <col min="8965" max="8966" width="13.28515625" style="81" customWidth="1"/>
    <col min="8967" max="8967" width="12.140625" style="81" customWidth="1"/>
    <col min="8968" max="8968" width="13.28515625" style="81" customWidth="1"/>
    <col min="8969" max="8969" width="14.42578125" style="81" customWidth="1"/>
    <col min="8970" max="8970" width="13.28515625" style="81" customWidth="1"/>
    <col min="8971" max="8971" width="11.28515625" style="81" bestFit="1" customWidth="1"/>
    <col min="8972" max="9216" width="9.140625" style="81"/>
    <col min="9217" max="9217" width="15.5703125" style="81" customWidth="1"/>
    <col min="9218" max="9218" width="11.7109375" style="81" customWidth="1"/>
    <col min="9219" max="9219" width="12.140625" style="81" customWidth="1"/>
    <col min="9220" max="9220" width="14.42578125" style="81" customWidth="1"/>
    <col min="9221" max="9222" width="13.28515625" style="81" customWidth="1"/>
    <col min="9223" max="9223" width="12.140625" style="81" customWidth="1"/>
    <col min="9224" max="9224" width="13.28515625" style="81" customWidth="1"/>
    <col min="9225" max="9225" width="14.42578125" style="81" customWidth="1"/>
    <col min="9226" max="9226" width="13.28515625" style="81" customWidth="1"/>
    <col min="9227" max="9227" width="11.28515625" style="81" bestFit="1" customWidth="1"/>
    <col min="9228" max="9472" width="9.140625" style="81"/>
    <col min="9473" max="9473" width="15.5703125" style="81" customWidth="1"/>
    <col min="9474" max="9474" width="11.7109375" style="81" customWidth="1"/>
    <col min="9475" max="9475" width="12.140625" style="81" customWidth="1"/>
    <col min="9476" max="9476" width="14.42578125" style="81" customWidth="1"/>
    <col min="9477" max="9478" width="13.28515625" style="81" customWidth="1"/>
    <col min="9479" max="9479" width="12.140625" style="81" customWidth="1"/>
    <col min="9480" max="9480" width="13.28515625" style="81" customWidth="1"/>
    <col min="9481" max="9481" width="14.42578125" style="81" customWidth="1"/>
    <col min="9482" max="9482" width="13.28515625" style="81" customWidth="1"/>
    <col min="9483" max="9483" width="11.28515625" style="81" bestFit="1" customWidth="1"/>
    <col min="9484" max="9728" width="9.140625" style="81"/>
    <col min="9729" max="9729" width="15.5703125" style="81" customWidth="1"/>
    <col min="9730" max="9730" width="11.7109375" style="81" customWidth="1"/>
    <col min="9731" max="9731" width="12.140625" style="81" customWidth="1"/>
    <col min="9732" max="9732" width="14.42578125" style="81" customWidth="1"/>
    <col min="9733" max="9734" width="13.28515625" style="81" customWidth="1"/>
    <col min="9735" max="9735" width="12.140625" style="81" customWidth="1"/>
    <col min="9736" max="9736" width="13.28515625" style="81" customWidth="1"/>
    <col min="9737" max="9737" width="14.42578125" style="81" customWidth="1"/>
    <col min="9738" max="9738" width="13.28515625" style="81" customWidth="1"/>
    <col min="9739" max="9739" width="11.28515625" style="81" bestFit="1" customWidth="1"/>
    <col min="9740" max="9984" width="9.140625" style="81"/>
    <col min="9985" max="9985" width="15.5703125" style="81" customWidth="1"/>
    <col min="9986" max="9986" width="11.7109375" style="81" customWidth="1"/>
    <col min="9987" max="9987" width="12.140625" style="81" customWidth="1"/>
    <col min="9988" max="9988" width="14.42578125" style="81" customWidth="1"/>
    <col min="9989" max="9990" width="13.28515625" style="81" customWidth="1"/>
    <col min="9991" max="9991" width="12.140625" style="81" customWidth="1"/>
    <col min="9992" max="9992" width="13.28515625" style="81" customWidth="1"/>
    <col min="9993" max="9993" width="14.42578125" style="81" customWidth="1"/>
    <col min="9994" max="9994" width="13.28515625" style="81" customWidth="1"/>
    <col min="9995" max="9995" width="11.28515625" style="81" bestFit="1" customWidth="1"/>
    <col min="9996" max="10240" width="9.140625" style="81"/>
    <col min="10241" max="10241" width="15.5703125" style="81" customWidth="1"/>
    <col min="10242" max="10242" width="11.7109375" style="81" customWidth="1"/>
    <col min="10243" max="10243" width="12.140625" style="81" customWidth="1"/>
    <col min="10244" max="10244" width="14.42578125" style="81" customWidth="1"/>
    <col min="10245" max="10246" width="13.28515625" style="81" customWidth="1"/>
    <col min="10247" max="10247" width="12.140625" style="81" customWidth="1"/>
    <col min="10248" max="10248" width="13.28515625" style="81" customWidth="1"/>
    <col min="10249" max="10249" width="14.42578125" style="81" customWidth="1"/>
    <col min="10250" max="10250" width="13.28515625" style="81" customWidth="1"/>
    <col min="10251" max="10251" width="11.28515625" style="81" bestFit="1" customWidth="1"/>
    <col min="10252" max="10496" width="9.140625" style="81"/>
    <col min="10497" max="10497" width="15.5703125" style="81" customWidth="1"/>
    <col min="10498" max="10498" width="11.7109375" style="81" customWidth="1"/>
    <col min="10499" max="10499" width="12.140625" style="81" customWidth="1"/>
    <col min="10500" max="10500" width="14.42578125" style="81" customWidth="1"/>
    <col min="10501" max="10502" width="13.28515625" style="81" customWidth="1"/>
    <col min="10503" max="10503" width="12.140625" style="81" customWidth="1"/>
    <col min="10504" max="10504" width="13.28515625" style="81" customWidth="1"/>
    <col min="10505" max="10505" width="14.42578125" style="81" customWidth="1"/>
    <col min="10506" max="10506" width="13.28515625" style="81" customWidth="1"/>
    <col min="10507" max="10507" width="11.28515625" style="81" bestFit="1" customWidth="1"/>
    <col min="10508" max="10752" width="9.140625" style="81"/>
    <col min="10753" max="10753" width="15.5703125" style="81" customWidth="1"/>
    <col min="10754" max="10754" width="11.7109375" style="81" customWidth="1"/>
    <col min="10755" max="10755" width="12.140625" style="81" customWidth="1"/>
    <col min="10756" max="10756" width="14.42578125" style="81" customWidth="1"/>
    <col min="10757" max="10758" width="13.28515625" style="81" customWidth="1"/>
    <col min="10759" max="10759" width="12.140625" style="81" customWidth="1"/>
    <col min="10760" max="10760" width="13.28515625" style="81" customWidth="1"/>
    <col min="10761" max="10761" width="14.42578125" style="81" customWidth="1"/>
    <col min="10762" max="10762" width="13.28515625" style="81" customWidth="1"/>
    <col min="10763" max="10763" width="11.28515625" style="81" bestFit="1" customWidth="1"/>
    <col min="10764" max="11008" width="9.140625" style="81"/>
    <col min="11009" max="11009" width="15.5703125" style="81" customWidth="1"/>
    <col min="11010" max="11010" width="11.7109375" style="81" customWidth="1"/>
    <col min="11011" max="11011" width="12.140625" style="81" customWidth="1"/>
    <col min="11012" max="11012" width="14.42578125" style="81" customWidth="1"/>
    <col min="11013" max="11014" width="13.28515625" style="81" customWidth="1"/>
    <col min="11015" max="11015" width="12.140625" style="81" customWidth="1"/>
    <col min="11016" max="11016" width="13.28515625" style="81" customWidth="1"/>
    <col min="11017" max="11017" width="14.42578125" style="81" customWidth="1"/>
    <col min="11018" max="11018" width="13.28515625" style="81" customWidth="1"/>
    <col min="11019" max="11019" width="11.28515625" style="81" bestFit="1" customWidth="1"/>
    <col min="11020" max="11264" width="9.140625" style="81"/>
    <col min="11265" max="11265" width="15.5703125" style="81" customWidth="1"/>
    <col min="11266" max="11266" width="11.7109375" style="81" customWidth="1"/>
    <col min="11267" max="11267" width="12.140625" style="81" customWidth="1"/>
    <col min="11268" max="11268" width="14.42578125" style="81" customWidth="1"/>
    <col min="11269" max="11270" width="13.28515625" style="81" customWidth="1"/>
    <col min="11271" max="11271" width="12.140625" style="81" customWidth="1"/>
    <col min="11272" max="11272" width="13.28515625" style="81" customWidth="1"/>
    <col min="11273" max="11273" width="14.42578125" style="81" customWidth="1"/>
    <col min="11274" max="11274" width="13.28515625" style="81" customWidth="1"/>
    <col min="11275" max="11275" width="11.28515625" style="81" bestFit="1" customWidth="1"/>
    <col min="11276" max="11520" width="9.140625" style="81"/>
    <col min="11521" max="11521" width="15.5703125" style="81" customWidth="1"/>
    <col min="11522" max="11522" width="11.7109375" style="81" customWidth="1"/>
    <col min="11523" max="11523" width="12.140625" style="81" customWidth="1"/>
    <col min="11524" max="11524" width="14.42578125" style="81" customWidth="1"/>
    <col min="11525" max="11526" width="13.28515625" style="81" customWidth="1"/>
    <col min="11527" max="11527" width="12.140625" style="81" customWidth="1"/>
    <col min="11528" max="11528" width="13.28515625" style="81" customWidth="1"/>
    <col min="11529" max="11529" width="14.42578125" style="81" customWidth="1"/>
    <col min="11530" max="11530" width="13.28515625" style="81" customWidth="1"/>
    <col min="11531" max="11531" width="11.28515625" style="81" bestFit="1" customWidth="1"/>
    <col min="11532" max="11776" width="9.140625" style="81"/>
    <col min="11777" max="11777" width="15.5703125" style="81" customWidth="1"/>
    <col min="11778" max="11778" width="11.7109375" style="81" customWidth="1"/>
    <col min="11779" max="11779" width="12.140625" style="81" customWidth="1"/>
    <col min="11780" max="11780" width="14.42578125" style="81" customWidth="1"/>
    <col min="11781" max="11782" width="13.28515625" style="81" customWidth="1"/>
    <col min="11783" max="11783" width="12.140625" style="81" customWidth="1"/>
    <col min="11784" max="11784" width="13.28515625" style="81" customWidth="1"/>
    <col min="11785" max="11785" width="14.42578125" style="81" customWidth="1"/>
    <col min="11786" max="11786" width="13.28515625" style="81" customWidth="1"/>
    <col min="11787" max="11787" width="11.28515625" style="81" bestFit="1" customWidth="1"/>
    <col min="11788" max="12032" width="9.140625" style="81"/>
    <col min="12033" max="12033" width="15.5703125" style="81" customWidth="1"/>
    <col min="12034" max="12034" width="11.7109375" style="81" customWidth="1"/>
    <col min="12035" max="12035" width="12.140625" style="81" customWidth="1"/>
    <col min="12036" max="12036" width="14.42578125" style="81" customWidth="1"/>
    <col min="12037" max="12038" width="13.28515625" style="81" customWidth="1"/>
    <col min="12039" max="12039" width="12.140625" style="81" customWidth="1"/>
    <col min="12040" max="12040" width="13.28515625" style="81" customWidth="1"/>
    <col min="12041" max="12041" width="14.42578125" style="81" customWidth="1"/>
    <col min="12042" max="12042" width="13.28515625" style="81" customWidth="1"/>
    <col min="12043" max="12043" width="11.28515625" style="81" bestFit="1" customWidth="1"/>
    <col min="12044" max="12288" width="9.140625" style="81"/>
    <col min="12289" max="12289" width="15.5703125" style="81" customWidth="1"/>
    <col min="12290" max="12290" width="11.7109375" style="81" customWidth="1"/>
    <col min="12291" max="12291" width="12.140625" style="81" customWidth="1"/>
    <col min="12292" max="12292" width="14.42578125" style="81" customWidth="1"/>
    <col min="12293" max="12294" width="13.28515625" style="81" customWidth="1"/>
    <col min="12295" max="12295" width="12.140625" style="81" customWidth="1"/>
    <col min="12296" max="12296" width="13.28515625" style="81" customWidth="1"/>
    <col min="12297" max="12297" width="14.42578125" style="81" customWidth="1"/>
    <col min="12298" max="12298" width="13.28515625" style="81" customWidth="1"/>
    <col min="12299" max="12299" width="11.28515625" style="81" bestFit="1" customWidth="1"/>
    <col min="12300" max="12544" width="9.140625" style="81"/>
    <col min="12545" max="12545" width="15.5703125" style="81" customWidth="1"/>
    <col min="12546" max="12546" width="11.7109375" style="81" customWidth="1"/>
    <col min="12547" max="12547" width="12.140625" style="81" customWidth="1"/>
    <col min="12548" max="12548" width="14.42578125" style="81" customWidth="1"/>
    <col min="12549" max="12550" width="13.28515625" style="81" customWidth="1"/>
    <col min="12551" max="12551" width="12.140625" style="81" customWidth="1"/>
    <col min="12552" max="12552" width="13.28515625" style="81" customWidth="1"/>
    <col min="12553" max="12553" width="14.42578125" style="81" customWidth="1"/>
    <col min="12554" max="12554" width="13.28515625" style="81" customWidth="1"/>
    <col min="12555" max="12555" width="11.28515625" style="81" bestFit="1" customWidth="1"/>
    <col min="12556" max="12800" width="9.140625" style="81"/>
    <col min="12801" max="12801" width="15.5703125" style="81" customWidth="1"/>
    <col min="12802" max="12802" width="11.7109375" style="81" customWidth="1"/>
    <col min="12803" max="12803" width="12.140625" style="81" customWidth="1"/>
    <col min="12804" max="12804" width="14.42578125" style="81" customWidth="1"/>
    <col min="12805" max="12806" width="13.28515625" style="81" customWidth="1"/>
    <col min="12807" max="12807" width="12.140625" style="81" customWidth="1"/>
    <col min="12808" max="12808" width="13.28515625" style="81" customWidth="1"/>
    <col min="12809" max="12809" width="14.42578125" style="81" customWidth="1"/>
    <col min="12810" max="12810" width="13.28515625" style="81" customWidth="1"/>
    <col min="12811" max="12811" width="11.28515625" style="81" bestFit="1" customWidth="1"/>
    <col min="12812" max="13056" width="9.140625" style="81"/>
    <col min="13057" max="13057" width="15.5703125" style="81" customWidth="1"/>
    <col min="13058" max="13058" width="11.7109375" style="81" customWidth="1"/>
    <col min="13059" max="13059" width="12.140625" style="81" customWidth="1"/>
    <col min="13060" max="13060" width="14.42578125" style="81" customWidth="1"/>
    <col min="13061" max="13062" width="13.28515625" style="81" customWidth="1"/>
    <col min="13063" max="13063" width="12.140625" style="81" customWidth="1"/>
    <col min="13064" max="13064" width="13.28515625" style="81" customWidth="1"/>
    <col min="13065" max="13065" width="14.42578125" style="81" customWidth="1"/>
    <col min="13066" max="13066" width="13.28515625" style="81" customWidth="1"/>
    <col min="13067" max="13067" width="11.28515625" style="81" bestFit="1" customWidth="1"/>
    <col min="13068" max="13312" width="9.140625" style="81"/>
    <col min="13313" max="13313" width="15.5703125" style="81" customWidth="1"/>
    <col min="13314" max="13314" width="11.7109375" style="81" customWidth="1"/>
    <col min="13315" max="13315" width="12.140625" style="81" customWidth="1"/>
    <col min="13316" max="13316" width="14.42578125" style="81" customWidth="1"/>
    <col min="13317" max="13318" width="13.28515625" style="81" customWidth="1"/>
    <col min="13319" max="13319" width="12.140625" style="81" customWidth="1"/>
    <col min="13320" max="13320" width="13.28515625" style="81" customWidth="1"/>
    <col min="13321" max="13321" width="14.42578125" style="81" customWidth="1"/>
    <col min="13322" max="13322" width="13.28515625" style="81" customWidth="1"/>
    <col min="13323" max="13323" width="11.28515625" style="81" bestFit="1" customWidth="1"/>
    <col min="13324" max="13568" width="9.140625" style="81"/>
    <col min="13569" max="13569" width="15.5703125" style="81" customWidth="1"/>
    <col min="13570" max="13570" width="11.7109375" style="81" customWidth="1"/>
    <col min="13571" max="13571" width="12.140625" style="81" customWidth="1"/>
    <col min="13572" max="13572" width="14.42578125" style="81" customWidth="1"/>
    <col min="13573" max="13574" width="13.28515625" style="81" customWidth="1"/>
    <col min="13575" max="13575" width="12.140625" style="81" customWidth="1"/>
    <col min="13576" max="13576" width="13.28515625" style="81" customWidth="1"/>
    <col min="13577" max="13577" width="14.42578125" style="81" customWidth="1"/>
    <col min="13578" max="13578" width="13.28515625" style="81" customWidth="1"/>
    <col min="13579" max="13579" width="11.28515625" style="81" bestFit="1" customWidth="1"/>
    <col min="13580" max="13824" width="9.140625" style="81"/>
    <col min="13825" max="13825" width="15.5703125" style="81" customWidth="1"/>
    <col min="13826" max="13826" width="11.7109375" style="81" customWidth="1"/>
    <col min="13827" max="13827" width="12.140625" style="81" customWidth="1"/>
    <col min="13828" max="13828" width="14.42578125" style="81" customWidth="1"/>
    <col min="13829" max="13830" width="13.28515625" style="81" customWidth="1"/>
    <col min="13831" max="13831" width="12.140625" style="81" customWidth="1"/>
    <col min="13832" max="13832" width="13.28515625" style="81" customWidth="1"/>
    <col min="13833" max="13833" width="14.42578125" style="81" customWidth="1"/>
    <col min="13834" max="13834" width="13.28515625" style="81" customWidth="1"/>
    <col min="13835" max="13835" width="11.28515625" style="81" bestFit="1" customWidth="1"/>
    <col min="13836" max="14080" width="9.140625" style="81"/>
    <col min="14081" max="14081" width="15.5703125" style="81" customWidth="1"/>
    <col min="14082" max="14082" width="11.7109375" style="81" customWidth="1"/>
    <col min="14083" max="14083" width="12.140625" style="81" customWidth="1"/>
    <col min="14084" max="14084" width="14.42578125" style="81" customWidth="1"/>
    <col min="14085" max="14086" width="13.28515625" style="81" customWidth="1"/>
    <col min="14087" max="14087" width="12.140625" style="81" customWidth="1"/>
    <col min="14088" max="14088" width="13.28515625" style="81" customWidth="1"/>
    <col min="14089" max="14089" width="14.42578125" style="81" customWidth="1"/>
    <col min="14090" max="14090" width="13.28515625" style="81" customWidth="1"/>
    <col min="14091" max="14091" width="11.28515625" style="81" bestFit="1" customWidth="1"/>
    <col min="14092" max="14336" width="9.140625" style="81"/>
    <col min="14337" max="14337" width="15.5703125" style="81" customWidth="1"/>
    <col min="14338" max="14338" width="11.7109375" style="81" customWidth="1"/>
    <col min="14339" max="14339" width="12.140625" style="81" customWidth="1"/>
    <col min="14340" max="14340" width="14.42578125" style="81" customWidth="1"/>
    <col min="14341" max="14342" width="13.28515625" style="81" customWidth="1"/>
    <col min="14343" max="14343" width="12.140625" style="81" customWidth="1"/>
    <col min="14344" max="14344" width="13.28515625" style="81" customWidth="1"/>
    <col min="14345" max="14345" width="14.42578125" style="81" customWidth="1"/>
    <col min="14346" max="14346" width="13.28515625" style="81" customWidth="1"/>
    <col min="14347" max="14347" width="11.28515625" style="81" bestFit="1" customWidth="1"/>
    <col min="14348" max="14592" width="9.140625" style="81"/>
    <col min="14593" max="14593" width="15.5703125" style="81" customWidth="1"/>
    <col min="14594" max="14594" width="11.7109375" style="81" customWidth="1"/>
    <col min="14595" max="14595" width="12.140625" style="81" customWidth="1"/>
    <col min="14596" max="14596" width="14.42578125" style="81" customWidth="1"/>
    <col min="14597" max="14598" width="13.28515625" style="81" customWidth="1"/>
    <col min="14599" max="14599" width="12.140625" style="81" customWidth="1"/>
    <col min="14600" max="14600" width="13.28515625" style="81" customWidth="1"/>
    <col min="14601" max="14601" width="14.42578125" style="81" customWidth="1"/>
    <col min="14602" max="14602" width="13.28515625" style="81" customWidth="1"/>
    <col min="14603" max="14603" width="11.28515625" style="81" bestFit="1" customWidth="1"/>
    <col min="14604" max="14848" width="9.140625" style="81"/>
    <col min="14849" max="14849" width="15.5703125" style="81" customWidth="1"/>
    <col min="14850" max="14850" width="11.7109375" style="81" customWidth="1"/>
    <col min="14851" max="14851" width="12.140625" style="81" customWidth="1"/>
    <col min="14852" max="14852" width="14.42578125" style="81" customWidth="1"/>
    <col min="14853" max="14854" width="13.28515625" style="81" customWidth="1"/>
    <col min="14855" max="14855" width="12.140625" style="81" customWidth="1"/>
    <col min="14856" max="14856" width="13.28515625" style="81" customWidth="1"/>
    <col min="14857" max="14857" width="14.42578125" style="81" customWidth="1"/>
    <col min="14858" max="14858" width="13.28515625" style="81" customWidth="1"/>
    <col min="14859" max="14859" width="11.28515625" style="81" bestFit="1" customWidth="1"/>
    <col min="14860" max="15104" width="9.140625" style="81"/>
    <col min="15105" max="15105" width="15.5703125" style="81" customWidth="1"/>
    <col min="15106" max="15106" width="11.7109375" style="81" customWidth="1"/>
    <col min="15107" max="15107" width="12.140625" style="81" customWidth="1"/>
    <col min="15108" max="15108" width="14.42578125" style="81" customWidth="1"/>
    <col min="15109" max="15110" width="13.28515625" style="81" customWidth="1"/>
    <col min="15111" max="15111" width="12.140625" style="81" customWidth="1"/>
    <col min="15112" max="15112" width="13.28515625" style="81" customWidth="1"/>
    <col min="15113" max="15113" width="14.42578125" style="81" customWidth="1"/>
    <col min="15114" max="15114" width="13.28515625" style="81" customWidth="1"/>
    <col min="15115" max="15115" width="11.28515625" style="81" bestFit="1" customWidth="1"/>
    <col min="15116" max="15360" width="9.140625" style="81"/>
    <col min="15361" max="15361" width="15.5703125" style="81" customWidth="1"/>
    <col min="15362" max="15362" width="11.7109375" style="81" customWidth="1"/>
    <col min="15363" max="15363" width="12.140625" style="81" customWidth="1"/>
    <col min="15364" max="15364" width="14.42578125" style="81" customWidth="1"/>
    <col min="15365" max="15366" width="13.28515625" style="81" customWidth="1"/>
    <col min="15367" max="15367" width="12.140625" style="81" customWidth="1"/>
    <col min="15368" max="15368" width="13.28515625" style="81" customWidth="1"/>
    <col min="15369" max="15369" width="14.42578125" style="81" customWidth="1"/>
    <col min="15370" max="15370" width="13.28515625" style="81" customWidth="1"/>
    <col min="15371" max="15371" width="11.28515625" style="81" bestFit="1" customWidth="1"/>
    <col min="15372" max="15616" width="9.140625" style="81"/>
    <col min="15617" max="15617" width="15.5703125" style="81" customWidth="1"/>
    <col min="15618" max="15618" width="11.7109375" style="81" customWidth="1"/>
    <col min="15619" max="15619" width="12.140625" style="81" customWidth="1"/>
    <col min="15620" max="15620" width="14.42578125" style="81" customWidth="1"/>
    <col min="15621" max="15622" width="13.28515625" style="81" customWidth="1"/>
    <col min="15623" max="15623" width="12.140625" style="81" customWidth="1"/>
    <col min="15624" max="15624" width="13.28515625" style="81" customWidth="1"/>
    <col min="15625" max="15625" width="14.42578125" style="81" customWidth="1"/>
    <col min="15626" max="15626" width="13.28515625" style="81" customWidth="1"/>
    <col min="15627" max="15627" width="11.28515625" style="81" bestFit="1" customWidth="1"/>
    <col min="15628" max="15872" width="9.140625" style="81"/>
    <col min="15873" max="15873" width="15.5703125" style="81" customWidth="1"/>
    <col min="15874" max="15874" width="11.7109375" style="81" customWidth="1"/>
    <col min="15875" max="15875" width="12.140625" style="81" customWidth="1"/>
    <col min="15876" max="15876" width="14.42578125" style="81" customWidth="1"/>
    <col min="15877" max="15878" width="13.28515625" style="81" customWidth="1"/>
    <col min="15879" max="15879" width="12.140625" style="81" customWidth="1"/>
    <col min="15880" max="15880" width="13.28515625" style="81" customWidth="1"/>
    <col min="15881" max="15881" width="14.42578125" style="81" customWidth="1"/>
    <col min="15882" max="15882" width="13.28515625" style="81" customWidth="1"/>
    <col min="15883" max="15883" width="11.28515625" style="81" bestFit="1" customWidth="1"/>
    <col min="15884" max="16128" width="9.140625" style="81"/>
    <col min="16129" max="16129" width="15.5703125" style="81" customWidth="1"/>
    <col min="16130" max="16130" width="11.7109375" style="81" customWidth="1"/>
    <col min="16131" max="16131" width="12.140625" style="81" customWidth="1"/>
    <col min="16132" max="16132" width="14.42578125" style="81" customWidth="1"/>
    <col min="16133" max="16134" width="13.28515625" style="81" customWidth="1"/>
    <col min="16135" max="16135" width="12.140625" style="81" customWidth="1"/>
    <col min="16136" max="16136" width="13.28515625" style="81" customWidth="1"/>
    <col min="16137" max="16137" width="14.42578125" style="81" customWidth="1"/>
    <col min="16138" max="16138" width="13.28515625" style="81" customWidth="1"/>
    <col min="16139" max="16139" width="11.28515625" style="81" bestFit="1" customWidth="1"/>
    <col min="16140" max="16384" width="9.140625" style="81"/>
  </cols>
  <sheetData>
    <row r="1" spans="1:11" ht="68.099999999999994" customHeight="1" x14ac:dyDescent="0.2">
      <c r="A1" s="78" t="s">
        <v>243</v>
      </c>
      <c r="B1" s="79"/>
      <c r="C1" s="79"/>
      <c r="D1" s="80"/>
      <c r="E1" s="80"/>
      <c r="F1" s="80"/>
      <c r="G1" s="80"/>
      <c r="H1" s="80"/>
      <c r="I1" s="80"/>
      <c r="J1" s="80"/>
    </row>
    <row r="2" spans="1:11" ht="22.7" customHeight="1" x14ac:dyDescent="0.25">
      <c r="A2" s="82" t="s">
        <v>244</v>
      </c>
    </row>
    <row r="3" spans="1:11" ht="12.75" customHeight="1" x14ac:dyDescent="0.2">
      <c r="A3" s="83" t="s">
        <v>245</v>
      </c>
    </row>
    <row r="4" spans="1:11" ht="25.7" customHeight="1" x14ac:dyDescent="0.2">
      <c r="A4" s="84" t="s">
        <v>246</v>
      </c>
    </row>
    <row r="5" spans="1:11" ht="33.75" customHeight="1" x14ac:dyDescent="0.2">
      <c r="A5" s="84"/>
      <c r="B5" s="85" t="s">
        <v>247</v>
      </c>
      <c r="C5" s="85" t="s">
        <v>248</v>
      </c>
      <c r="D5" s="85" t="s">
        <v>249</v>
      </c>
      <c r="E5" s="85" t="s">
        <v>250</v>
      </c>
      <c r="F5" s="85" t="s">
        <v>251</v>
      </c>
      <c r="G5" s="85" t="s">
        <v>252</v>
      </c>
      <c r="H5" s="85" t="s">
        <v>253</v>
      </c>
      <c r="I5" s="85" t="s">
        <v>254</v>
      </c>
      <c r="J5" s="85" t="s">
        <v>255</v>
      </c>
    </row>
    <row r="6" spans="1:11" ht="12.75" customHeight="1" x14ac:dyDescent="0.2">
      <c r="A6" s="86"/>
      <c r="B6" s="87" t="s">
        <v>256</v>
      </c>
      <c r="C6" s="87" t="s">
        <v>256</v>
      </c>
      <c r="D6" s="87" t="s">
        <v>256</v>
      </c>
      <c r="E6" s="87" t="s">
        <v>256</v>
      </c>
      <c r="F6" s="87" t="s">
        <v>256</v>
      </c>
      <c r="G6" s="87" t="s">
        <v>256</v>
      </c>
      <c r="H6" s="87" t="s">
        <v>256</v>
      </c>
      <c r="I6" s="87" t="s">
        <v>256</v>
      </c>
      <c r="J6" s="87" t="s">
        <v>256</v>
      </c>
    </row>
    <row r="7" spans="1:11" ht="14.85" customHeight="1" x14ac:dyDescent="0.2">
      <c r="A7" s="223" t="s">
        <v>257</v>
      </c>
      <c r="B7" s="223"/>
      <c r="C7" s="223"/>
      <c r="D7" s="223"/>
      <c r="E7" s="223"/>
      <c r="F7" s="223"/>
      <c r="G7" s="223"/>
      <c r="H7" s="223"/>
      <c r="I7" s="223"/>
      <c r="J7" s="223"/>
    </row>
    <row r="8" spans="1:11" ht="12.75" customHeight="1" x14ac:dyDescent="0.2">
      <c r="A8" s="88">
        <v>2014</v>
      </c>
      <c r="B8" s="89">
        <v>3953655</v>
      </c>
      <c r="C8" s="89">
        <v>3519491</v>
      </c>
      <c r="D8" s="89">
        <v>2614648</v>
      </c>
      <c r="E8" s="89">
        <v>1036052</v>
      </c>
      <c r="F8" s="89">
        <v>1539270</v>
      </c>
      <c r="G8" s="89">
        <v>308555</v>
      </c>
      <c r="H8" s="89">
        <v>92150</v>
      </c>
      <c r="I8" s="89">
        <v>233439</v>
      </c>
      <c r="J8" s="89">
        <v>13297260</v>
      </c>
      <c r="K8" s="90"/>
    </row>
    <row r="9" spans="1:11" ht="12.75" customHeight="1" x14ac:dyDescent="0.2">
      <c r="A9" s="88">
        <v>2018</v>
      </c>
      <c r="B9" s="89">
        <v>4277481</v>
      </c>
      <c r="C9" s="89">
        <v>3838133</v>
      </c>
      <c r="D9" s="89">
        <v>2837481</v>
      </c>
      <c r="E9" s="89">
        <v>1090572</v>
      </c>
      <c r="F9" s="89">
        <v>1602966</v>
      </c>
      <c r="G9" s="89">
        <v>330910</v>
      </c>
      <c r="H9" s="89">
        <v>100118</v>
      </c>
      <c r="I9" s="89">
        <v>252771</v>
      </c>
      <c r="J9" s="89">
        <v>14330432</v>
      </c>
      <c r="K9" s="90"/>
    </row>
    <row r="10" spans="1:11" ht="12.75" customHeight="1" x14ac:dyDescent="0.2">
      <c r="A10" s="88">
        <v>2019</v>
      </c>
      <c r="B10" s="89">
        <v>4308798</v>
      </c>
      <c r="C10" s="89">
        <v>3907572</v>
      </c>
      <c r="D10" s="89">
        <v>2878798</v>
      </c>
      <c r="E10" s="89">
        <v>1101140</v>
      </c>
      <c r="F10" s="89">
        <v>1611974</v>
      </c>
      <c r="G10" s="89">
        <v>338229</v>
      </c>
      <c r="H10" s="89">
        <v>99687</v>
      </c>
      <c r="I10" s="89">
        <v>257950</v>
      </c>
      <c r="J10" s="89">
        <v>14504148</v>
      </c>
      <c r="K10" s="90"/>
    </row>
    <row r="11" spans="1:11" ht="14.65" customHeight="1" x14ac:dyDescent="0.2">
      <c r="A11" s="223" t="s">
        <v>258</v>
      </c>
      <c r="B11" s="223"/>
      <c r="C11" s="223"/>
      <c r="D11" s="223"/>
      <c r="E11" s="223"/>
      <c r="F11" s="223"/>
      <c r="G11" s="223"/>
      <c r="H11" s="223"/>
      <c r="I11" s="223"/>
      <c r="J11" s="223"/>
    </row>
    <row r="12" spans="1:11" ht="12.75" customHeight="1" x14ac:dyDescent="0.2">
      <c r="A12" s="88">
        <v>2014</v>
      </c>
      <c r="B12" s="89">
        <v>12538</v>
      </c>
      <c r="C12" s="89">
        <v>12360</v>
      </c>
      <c r="D12" s="89">
        <v>13311</v>
      </c>
      <c r="E12" s="89">
        <v>4052</v>
      </c>
      <c r="F12" s="89">
        <v>8258</v>
      </c>
      <c r="G12" s="89">
        <v>4574</v>
      </c>
      <c r="H12" s="89">
        <v>234</v>
      </c>
      <c r="I12" s="89">
        <v>430</v>
      </c>
      <c r="J12" s="89">
        <v>55757</v>
      </c>
      <c r="K12" s="90"/>
    </row>
    <row r="13" spans="1:11" ht="12.75" customHeight="1" x14ac:dyDescent="0.2">
      <c r="A13" s="88">
        <v>2018</v>
      </c>
      <c r="B13" s="89">
        <v>17831</v>
      </c>
      <c r="C13" s="89">
        <v>14210</v>
      </c>
      <c r="D13" s="89">
        <v>16607</v>
      </c>
      <c r="E13" s="89">
        <v>4400</v>
      </c>
      <c r="F13" s="89">
        <v>7993</v>
      </c>
      <c r="G13" s="89">
        <v>4883</v>
      </c>
      <c r="H13" s="89">
        <v>218</v>
      </c>
      <c r="I13" s="89">
        <v>452</v>
      </c>
      <c r="J13" s="89">
        <v>66594</v>
      </c>
      <c r="K13" s="90"/>
    </row>
    <row r="14" spans="1:11" ht="12.75" customHeight="1" x14ac:dyDescent="0.2">
      <c r="A14" s="88">
        <v>2019</v>
      </c>
      <c r="B14" s="89">
        <v>18916</v>
      </c>
      <c r="C14" s="89">
        <v>14783</v>
      </c>
      <c r="D14" s="89">
        <v>17444</v>
      </c>
      <c r="E14" s="89">
        <v>4929</v>
      </c>
      <c r="F14" s="89">
        <v>7994</v>
      </c>
      <c r="G14" s="89">
        <v>5021</v>
      </c>
      <c r="H14" s="89">
        <v>193</v>
      </c>
      <c r="I14" s="89">
        <v>473</v>
      </c>
      <c r="J14" s="89">
        <v>69753</v>
      </c>
      <c r="K14" s="90"/>
    </row>
    <row r="15" spans="1:11" ht="14.65" customHeight="1" x14ac:dyDescent="0.2">
      <c r="A15" s="223" t="s">
        <v>259</v>
      </c>
      <c r="B15" s="223"/>
      <c r="C15" s="223"/>
      <c r="D15" s="223"/>
      <c r="E15" s="223"/>
      <c r="F15" s="223"/>
      <c r="G15" s="223"/>
      <c r="H15" s="223"/>
      <c r="I15" s="223"/>
      <c r="J15" s="223"/>
    </row>
    <row r="16" spans="1:11" ht="12.75" customHeight="1" x14ac:dyDescent="0.2">
      <c r="A16" s="88">
        <v>2014</v>
      </c>
      <c r="B16" s="89">
        <v>747280</v>
      </c>
      <c r="C16" s="89">
        <v>616579</v>
      </c>
      <c r="D16" s="89">
        <v>740554</v>
      </c>
      <c r="E16" s="89">
        <v>188196</v>
      </c>
      <c r="F16" s="89">
        <v>366219</v>
      </c>
      <c r="G16" s="89">
        <v>94437</v>
      </c>
      <c r="H16" s="89">
        <v>42323</v>
      </c>
      <c r="I16" s="89">
        <v>28464</v>
      </c>
      <c r="J16" s="89">
        <v>2824052</v>
      </c>
      <c r="K16" s="90"/>
    </row>
    <row r="17" spans="1:11" ht="12.75" customHeight="1" x14ac:dyDescent="0.2">
      <c r="A17" s="88">
        <v>2018</v>
      </c>
      <c r="B17" s="89">
        <v>875215</v>
      </c>
      <c r="C17" s="89">
        <v>703290</v>
      </c>
      <c r="D17" s="89">
        <v>824950</v>
      </c>
      <c r="E17" s="89">
        <v>212739</v>
      </c>
      <c r="F17" s="89">
        <v>388178</v>
      </c>
      <c r="G17" s="89">
        <v>106102</v>
      </c>
      <c r="H17" s="89">
        <v>44730</v>
      </c>
      <c r="I17" s="89">
        <v>31927</v>
      </c>
      <c r="J17" s="89">
        <v>3187131</v>
      </c>
      <c r="K17" s="90"/>
    </row>
    <row r="18" spans="1:11" ht="12.75" customHeight="1" x14ac:dyDescent="0.2">
      <c r="A18" s="88">
        <v>2019</v>
      </c>
      <c r="B18" s="89">
        <v>915953</v>
      </c>
      <c r="C18" s="89">
        <v>731084</v>
      </c>
      <c r="D18" s="89">
        <v>864268</v>
      </c>
      <c r="E18" s="89">
        <v>220456</v>
      </c>
      <c r="F18" s="89">
        <v>393709</v>
      </c>
      <c r="G18" s="89">
        <v>110109</v>
      </c>
      <c r="H18" s="89">
        <v>44975</v>
      </c>
      <c r="I18" s="89">
        <v>32864</v>
      </c>
      <c r="J18" s="89">
        <v>3313418</v>
      </c>
      <c r="K18" s="90"/>
    </row>
    <row r="19" spans="1:11" ht="14.65" customHeight="1" x14ac:dyDescent="0.2">
      <c r="A19" s="223" t="s">
        <v>260</v>
      </c>
      <c r="B19" s="223"/>
      <c r="C19" s="223"/>
      <c r="D19" s="223"/>
      <c r="E19" s="223"/>
      <c r="F19" s="223"/>
      <c r="G19" s="223"/>
      <c r="H19" s="223"/>
      <c r="I19" s="223"/>
      <c r="J19" s="223"/>
    </row>
    <row r="20" spans="1:11" ht="12.75" customHeight="1" x14ac:dyDescent="0.2">
      <c r="A20" s="88">
        <v>2014</v>
      </c>
      <c r="B20" s="89">
        <v>43412</v>
      </c>
      <c r="C20" s="89">
        <v>29910</v>
      </c>
      <c r="D20" s="89">
        <v>34432</v>
      </c>
      <c r="E20" s="89">
        <v>6898</v>
      </c>
      <c r="F20" s="89">
        <v>16427</v>
      </c>
      <c r="G20" s="89">
        <v>3034</v>
      </c>
      <c r="H20" s="89">
        <v>601</v>
      </c>
      <c r="I20" s="89">
        <v>944</v>
      </c>
      <c r="J20" s="89">
        <v>135658</v>
      </c>
      <c r="K20" s="90"/>
    </row>
    <row r="21" spans="1:11" ht="12.75" customHeight="1" x14ac:dyDescent="0.2">
      <c r="A21" s="88">
        <v>2018</v>
      </c>
      <c r="B21" s="89">
        <v>52376</v>
      </c>
      <c r="C21" s="89">
        <v>35646</v>
      </c>
      <c r="D21" s="89">
        <v>38704</v>
      </c>
      <c r="E21" s="89">
        <v>7394</v>
      </c>
      <c r="F21" s="89">
        <v>18107</v>
      </c>
      <c r="G21" s="89">
        <v>3773</v>
      </c>
      <c r="H21" s="89">
        <v>723</v>
      </c>
      <c r="I21" s="89">
        <v>1309</v>
      </c>
      <c r="J21" s="89">
        <v>158032</v>
      </c>
      <c r="K21" s="90"/>
    </row>
    <row r="22" spans="1:11" ht="12.75" customHeight="1" x14ac:dyDescent="0.2">
      <c r="A22" s="88">
        <v>2019</v>
      </c>
      <c r="B22" s="89">
        <v>55378</v>
      </c>
      <c r="C22" s="89">
        <v>37826</v>
      </c>
      <c r="D22" s="89">
        <v>40895</v>
      </c>
      <c r="E22" s="89">
        <v>7676</v>
      </c>
      <c r="F22" s="89">
        <v>18894</v>
      </c>
      <c r="G22" s="89">
        <v>4053</v>
      </c>
      <c r="H22" s="89">
        <v>860</v>
      </c>
      <c r="I22" s="89">
        <v>1390</v>
      </c>
      <c r="J22" s="89">
        <v>166972</v>
      </c>
      <c r="K22" s="90"/>
    </row>
    <row r="23" spans="1:11" ht="14.65" customHeight="1" x14ac:dyDescent="0.2">
      <c r="A23" s="223" t="s">
        <v>261</v>
      </c>
      <c r="B23" s="223"/>
      <c r="C23" s="223"/>
      <c r="D23" s="223"/>
      <c r="E23" s="223"/>
      <c r="F23" s="223"/>
      <c r="G23" s="223"/>
      <c r="H23" s="223"/>
      <c r="I23" s="223"/>
      <c r="J23" s="223"/>
    </row>
    <row r="24" spans="1:11" ht="12.75" customHeight="1" x14ac:dyDescent="0.2">
      <c r="A24" s="88">
        <v>2014</v>
      </c>
      <c r="B24" s="89">
        <v>86973</v>
      </c>
      <c r="C24" s="89">
        <v>78376</v>
      </c>
      <c r="D24" s="89">
        <v>72362</v>
      </c>
      <c r="E24" s="89">
        <v>23134</v>
      </c>
      <c r="F24" s="89">
        <v>53739</v>
      </c>
      <c r="G24" s="89">
        <v>8698</v>
      </c>
      <c r="H24" s="89">
        <v>4478</v>
      </c>
      <c r="I24" s="89">
        <v>1704</v>
      </c>
      <c r="J24" s="89">
        <v>329464</v>
      </c>
      <c r="K24" s="90"/>
    </row>
    <row r="25" spans="1:11" ht="12.75" customHeight="1" x14ac:dyDescent="0.2">
      <c r="A25" s="88">
        <v>2018</v>
      </c>
      <c r="B25" s="89">
        <v>97953</v>
      </c>
      <c r="C25" s="89">
        <v>83233</v>
      </c>
      <c r="D25" s="89">
        <v>73896</v>
      </c>
      <c r="E25" s="89">
        <v>22918</v>
      </c>
      <c r="F25" s="89">
        <v>53367</v>
      </c>
      <c r="G25" s="89">
        <v>9271</v>
      </c>
      <c r="H25" s="89">
        <v>4718</v>
      </c>
      <c r="I25" s="89">
        <v>1610</v>
      </c>
      <c r="J25" s="89">
        <v>346966</v>
      </c>
      <c r="K25" s="90"/>
    </row>
    <row r="26" spans="1:11" ht="12.75" customHeight="1" x14ac:dyDescent="0.2">
      <c r="A26" s="88">
        <v>2019</v>
      </c>
      <c r="B26" s="89">
        <v>100546</v>
      </c>
      <c r="C26" s="89">
        <v>86103</v>
      </c>
      <c r="D26" s="89">
        <v>75255</v>
      </c>
      <c r="E26" s="89">
        <v>22828</v>
      </c>
      <c r="F26" s="89">
        <v>53228</v>
      </c>
      <c r="G26" s="89">
        <v>9510</v>
      </c>
      <c r="H26" s="89">
        <v>4638</v>
      </c>
      <c r="I26" s="89">
        <v>1651</v>
      </c>
      <c r="J26" s="89">
        <v>353759</v>
      </c>
      <c r="K26" s="90"/>
    </row>
    <row r="27" spans="1:11" ht="14.65" customHeight="1" x14ac:dyDescent="0.2">
      <c r="A27" s="223" t="s">
        <v>262</v>
      </c>
      <c r="B27" s="223"/>
      <c r="C27" s="223"/>
      <c r="D27" s="223"/>
      <c r="E27" s="223"/>
      <c r="F27" s="223"/>
      <c r="G27" s="223"/>
      <c r="H27" s="223"/>
      <c r="I27" s="223"/>
      <c r="J27" s="223"/>
    </row>
    <row r="28" spans="1:11" ht="12.75" customHeight="1" x14ac:dyDescent="0.2">
      <c r="A28" s="88">
        <v>2014</v>
      </c>
      <c r="B28" s="89">
        <v>19906</v>
      </c>
      <c r="C28" s="89">
        <v>26107</v>
      </c>
      <c r="D28" s="89">
        <v>21496</v>
      </c>
      <c r="E28" s="89">
        <v>8326</v>
      </c>
      <c r="F28" s="89">
        <v>15054</v>
      </c>
      <c r="G28" s="89">
        <v>1584</v>
      </c>
      <c r="H28" s="89">
        <v>1233</v>
      </c>
      <c r="I28" s="89">
        <v>147</v>
      </c>
      <c r="J28" s="89">
        <v>93853</v>
      </c>
      <c r="K28" s="90"/>
    </row>
    <row r="29" spans="1:11" ht="12.75" customHeight="1" x14ac:dyDescent="0.2">
      <c r="A29" s="88">
        <v>2018</v>
      </c>
      <c r="B29" s="89">
        <v>22795</v>
      </c>
      <c r="C29" s="89">
        <v>28456</v>
      </c>
      <c r="D29" s="89">
        <v>22061</v>
      </c>
      <c r="E29" s="89">
        <v>8797</v>
      </c>
      <c r="F29" s="89">
        <v>15368</v>
      </c>
      <c r="G29" s="89">
        <v>1900</v>
      </c>
      <c r="H29" s="89">
        <v>1149</v>
      </c>
      <c r="I29" s="89">
        <v>168</v>
      </c>
      <c r="J29" s="89">
        <v>100694</v>
      </c>
      <c r="K29" s="90"/>
    </row>
    <row r="30" spans="1:11" ht="12.75" customHeight="1" x14ac:dyDescent="0.2">
      <c r="A30" s="88">
        <v>2019</v>
      </c>
      <c r="B30" s="89">
        <v>23084</v>
      </c>
      <c r="C30" s="91">
        <v>29192</v>
      </c>
      <c r="D30" s="89">
        <v>22633</v>
      </c>
      <c r="E30" s="89">
        <v>8892</v>
      </c>
      <c r="F30" s="89">
        <v>15833</v>
      </c>
      <c r="G30" s="89">
        <v>2057</v>
      </c>
      <c r="H30" s="89">
        <v>1163</v>
      </c>
      <c r="I30" s="89">
        <v>184</v>
      </c>
      <c r="J30" s="89">
        <v>103038</v>
      </c>
      <c r="K30" s="90"/>
    </row>
    <row r="31" spans="1:11" ht="14.65" customHeight="1" x14ac:dyDescent="0.2">
      <c r="A31" s="223" t="s">
        <v>263</v>
      </c>
      <c r="B31" s="223"/>
      <c r="C31" s="223"/>
      <c r="D31" s="223"/>
      <c r="E31" s="223"/>
      <c r="F31" s="223"/>
      <c r="G31" s="223"/>
      <c r="H31" s="223"/>
      <c r="I31" s="223"/>
      <c r="J31" s="223"/>
    </row>
    <row r="32" spans="1:11" ht="12.75" customHeight="1" x14ac:dyDescent="0.2">
      <c r="A32" s="88">
        <v>2014</v>
      </c>
      <c r="B32" s="89">
        <v>2931</v>
      </c>
      <c r="C32" s="89">
        <v>6316</v>
      </c>
      <c r="D32" s="89">
        <v>5577</v>
      </c>
      <c r="E32" s="89">
        <v>1862</v>
      </c>
      <c r="F32" s="89">
        <v>5023</v>
      </c>
      <c r="G32" s="89">
        <v>968</v>
      </c>
      <c r="H32" s="89">
        <v>344</v>
      </c>
      <c r="I32" s="89">
        <v>123</v>
      </c>
      <c r="J32" s="89">
        <v>23144</v>
      </c>
      <c r="K32" s="90"/>
    </row>
    <row r="33" spans="1:11" ht="12.75" customHeight="1" x14ac:dyDescent="0.2">
      <c r="A33" s="88">
        <v>2018</v>
      </c>
      <c r="B33" s="89">
        <v>3332</v>
      </c>
      <c r="C33" s="89">
        <v>6873</v>
      </c>
      <c r="D33" s="89">
        <v>5371</v>
      </c>
      <c r="E33" s="89">
        <v>1868</v>
      </c>
      <c r="F33" s="89">
        <v>5277</v>
      </c>
      <c r="G33" s="89">
        <v>942</v>
      </c>
      <c r="H33" s="89">
        <v>362</v>
      </c>
      <c r="I33" s="89">
        <v>140</v>
      </c>
      <c r="J33" s="89">
        <v>24165</v>
      </c>
      <c r="K33" s="90"/>
    </row>
    <row r="34" spans="1:11" ht="12.75" customHeight="1" x14ac:dyDescent="0.2">
      <c r="A34" s="88">
        <v>2019</v>
      </c>
      <c r="B34" s="89">
        <v>3490</v>
      </c>
      <c r="C34" s="89">
        <v>7134</v>
      </c>
      <c r="D34" s="89">
        <v>5558</v>
      </c>
      <c r="E34" s="89">
        <v>1875</v>
      </c>
      <c r="F34" s="89">
        <v>5154</v>
      </c>
      <c r="G34" s="89">
        <v>941</v>
      </c>
      <c r="H34" s="89">
        <v>376</v>
      </c>
      <c r="I34" s="89">
        <v>141</v>
      </c>
      <c r="J34" s="89">
        <v>24669</v>
      </c>
      <c r="K34" s="90"/>
    </row>
    <row r="35" spans="1:11" ht="14.65" customHeight="1" x14ac:dyDescent="0.2">
      <c r="A35" s="223" t="s">
        <v>264</v>
      </c>
      <c r="B35" s="223"/>
      <c r="C35" s="223"/>
      <c r="D35" s="223"/>
      <c r="E35" s="223"/>
      <c r="F35" s="223"/>
      <c r="G35" s="223"/>
      <c r="H35" s="223"/>
      <c r="I35" s="223"/>
      <c r="J35" s="223"/>
    </row>
    <row r="36" spans="1:11" ht="12.75" customHeight="1" x14ac:dyDescent="0.2">
      <c r="A36" s="88">
        <v>2014</v>
      </c>
      <c r="B36" s="89">
        <v>24617</v>
      </c>
      <c r="C36" s="89">
        <v>19623</v>
      </c>
      <c r="D36" s="89">
        <v>21337</v>
      </c>
      <c r="E36" s="89">
        <v>5622</v>
      </c>
      <c r="F36" s="89">
        <v>15322</v>
      </c>
      <c r="G36" s="89">
        <v>2667</v>
      </c>
      <c r="H36" s="89">
        <v>3882</v>
      </c>
      <c r="I36" s="89">
        <v>1061</v>
      </c>
      <c r="J36" s="89">
        <v>94131</v>
      </c>
      <c r="K36" s="90"/>
    </row>
    <row r="37" spans="1:11" ht="12.75" customHeight="1" x14ac:dyDescent="0.2">
      <c r="A37" s="88">
        <v>2018</v>
      </c>
      <c r="B37" s="89">
        <v>27166</v>
      </c>
      <c r="C37" s="89">
        <v>21063</v>
      </c>
      <c r="D37" s="89">
        <v>21831</v>
      </c>
      <c r="E37" s="89">
        <v>5947</v>
      </c>
      <c r="F37" s="89">
        <v>14661</v>
      </c>
      <c r="G37" s="89">
        <v>2906</v>
      </c>
      <c r="H37" s="89">
        <v>3911</v>
      </c>
      <c r="I37" s="89">
        <v>1080</v>
      </c>
      <c r="J37" s="89">
        <v>98565</v>
      </c>
      <c r="K37" s="90"/>
    </row>
    <row r="38" spans="1:11" ht="12.75" customHeight="1" x14ac:dyDescent="0.2">
      <c r="A38" s="88">
        <v>2019</v>
      </c>
      <c r="B38" s="89">
        <v>27605</v>
      </c>
      <c r="C38" s="89">
        <v>21432</v>
      </c>
      <c r="D38" s="89">
        <v>21944</v>
      </c>
      <c r="E38" s="89">
        <v>5909</v>
      </c>
      <c r="F38" s="89">
        <v>14698</v>
      </c>
      <c r="G38" s="89">
        <v>3008</v>
      </c>
      <c r="H38" s="89">
        <v>3647</v>
      </c>
      <c r="I38" s="89">
        <v>1136</v>
      </c>
      <c r="J38" s="89">
        <v>99379</v>
      </c>
      <c r="K38" s="90"/>
    </row>
    <row r="39" spans="1:11" ht="14.65" customHeight="1" x14ac:dyDescent="0.2">
      <c r="A39" s="223" t="s">
        <v>265</v>
      </c>
      <c r="B39" s="223"/>
      <c r="C39" s="223"/>
      <c r="D39" s="223"/>
      <c r="E39" s="223"/>
      <c r="F39" s="223"/>
      <c r="G39" s="223"/>
      <c r="H39" s="223"/>
      <c r="I39" s="223"/>
      <c r="J39" s="223"/>
    </row>
    <row r="40" spans="1:11" ht="12.75" customHeight="1" x14ac:dyDescent="0.2">
      <c r="A40" s="88">
        <v>2014</v>
      </c>
      <c r="B40" s="89">
        <v>211040</v>
      </c>
      <c r="C40" s="89">
        <v>174336</v>
      </c>
      <c r="D40" s="89">
        <v>181683</v>
      </c>
      <c r="E40" s="89">
        <v>52090</v>
      </c>
      <c r="F40" s="89">
        <v>122995</v>
      </c>
      <c r="G40" s="89">
        <v>18058</v>
      </c>
      <c r="H40" s="89">
        <v>6932</v>
      </c>
      <c r="I40" s="89">
        <v>13040</v>
      </c>
      <c r="J40" s="89">
        <v>780174</v>
      </c>
      <c r="K40" s="90"/>
    </row>
    <row r="41" spans="1:11" ht="12.75" customHeight="1" x14ac:dyDescent="0.2">
      <c r="A41" s="88">
        <v>2018</v>
      </c>
      <c r="B41" s="89">
        <v>244236</v>
      </c>
      <c r="C41" s="89">
        <v>192128</v>
      </c>
      <c r="D41" s="89">
        <v>204434</v>
      </c>
      <c r="E41" s="89">
        <v>54325</v>
      </c>
      <c r="F41" s="89">
        <v>125647</v>
      </c>
      <c r="G41" s="89">
        <v>20248</v>
      </c>
      <c r="H41" s="89">
        <v>6571</v>
      </c>
      <c r="I41" s="89">
        <v>13111</v>
      </c>
      <c r="J41" s="89">
        <v>860700</v>
      </c>
      <c r="K41" s="90"/>
    </row>
    <row r="42" spans="1:11" ht="12.75" customHeight="1" x14ac:dyDescent="0.2">
      <c r="A42" s="88">
        <v>2019</v>
      </c>
      <c r="B42" s="89">
        <v>248430</v>
      </c>
      <c r="C42" s="89">
        <v>195780</v>
      </c>
      <c r="D42" s="89">
        <v>207587</v>
      </c>
      <c r="E42" s="89">
        <v>55223</v>
      </c>
      <c r="F42" s="89">
        <v>123487</v>
      </c>
      <c r="G42" s="89">
        <v>20430</v>
      </c>
      <c r="H42" s="89">
        <v>6096</v>
      </c>
      <c r="I42" s="89">
        <v>13072</v>
      </c>
      <c r="J42" s="89">
        <v>870105</v>
      </c>
      <c r="K42" s="90"/>
    </row>
    <row r="43" spans="1:11" ht="14.65" customHeight="1" x14ac:dyDescent="0.2">
      <c r="A43" s="223" t="s">
        <v>266</v>
      </c>
      <c r="B43" s="223"/>
      <c r="C43" s="223"/>
      <c r="D43" s="223"/>
      <c r="E43" s="223"/>
      <c r="F43" s="223"/>
      <c r="G43" s="223"/>
      <c r="H43" s="223"/>
      <c r="I43" s="223"/>
      <c r="J43" s="223"/>
    </row>
    <row r="44" spans="1:11" ht="12.75" customHeight="1" x14ac:dyDescent="0.2">
      <c r="A44" s="88">
        <v>2014</v>
      </c>
      <c r="B44" s="89">
        <v>5102352</v>
      </c>
      <c r="C44" s="89">
        <v>4483098</v>
      </c>
      <c r="D44" s="89">
        <v>3705400</v>
      </c>
      <c r="E44" s="89">
        <v>1326232</v>
      </c>
      <c r="F44" s="89">
        <v>2142307</v>
      </c>
      <c r="G44" s="89">
        <v>442575</v>
      </c>
      <c r="H44" s="89">
        <v>152177</v>
      </c>
      <c r="I44" s="89">
        <v>279352</v>
      </c>
      <c r="J44" s="89">
        <v>17633493</v>
      </c>
      <c r="K44" s="90"/>
    </row>
    <row r="45" spans="1:11" ht="12.75" customHeight="1" x14ac:dyDescent="0.2">
      <c r="A45" s="88">
        <v>2018</v>
      </c>
      <c r="B45" s="89">
        <v>5618385</v>
      </c>
      <c r="C45" s="89">
        <v>4923032</v>
      </c>
      <c r="D45" s="89">
        <v>4045335</v>
      </c>
      <c r="E45" s="89">
        <v>1408960</v>
      </c>
      <c r="F45" s="89">
        <v>2231564</v>
      </c>
      <c r="G45" s="89">
        <v>480935</v>
      </c>
      <c r="H45" s="89">
        <v>162500</v>
      </c>
      <c r="I45" s="89">
        <v>302568</v>
      </c>
      <c r="J45" s="89">
        <v>19173279</v>
      </c>
      <c r="K45" s="90"/>
    </row>
    <row r="46" spans="1:11" ht="12.75" customHeight="1" x14ac:dyDescent="0.2">
      <c r="A46" s="88">
        <v>2019</v>
      </c>
      <c r="B46" s="89">
        <v>5702200</v>
      </c>
      <c r="C46" s="89">
        <v>5030906</v>
      </c>
      <c r="D46" s="89">
        <v>4134382</v>
      </c>
      <c r="E46" s="89">
        <v>1428928</v>
      </c>
      <c r="F46" s="89">
        <v>2244971</v>
      </c>
      <c r="G46" s="89">
        <v>493358</v>
      </c>
      <c r="H46" s="89">
        <v>161635</v>
      </c>
      <c r="I46" s="89">
        <v>308861</v>
      </c>
      <c r="J46" s="89">
        <v>19505241</v>
      </c>
      <c r="K46" s="92"/>
    </row>
    <row r="47" spans="1:11" x14ac:dyDescent="0.2">
      <c r="B47" s="93"/>
      <c r="C47" s="93"/>
      <c r="D47" s="93"/>
      <c r="E47" s="93"/>
      <c r="F47" s="93"/>
      <c r="G47" s="93"/>
      <c r="H47" s="93"/>
      <c r="I47" s="93"/>
      <c r="J47" s="93"/>
    </row>
    <row r="49" spans="1:10" ht="12.75" customHeight="1" x14ac:dyDescent="0.2">
      <c r="A49" s="94" t="s">
        <v>267</v>
      </c>
    </row>
    <row r="51" spans="1:10" x14ac:dyDescent="0.2">
      <c r="B51" s="95"/>
      <c r="C51" s="95"/>
      <c r="D51" s="95"/>
      <c r="E51" s="95"/>
      <c r="F51" s="95"/>
      <c r="G51" s="95"/>
      <c r="H51" s="95"/>
      <c r="I51" s="95"/>
      <c r="J51" s="95"/>
    </row>
    <row r="52" spans="1:10" x14ac:dyDescent="0.2">
      <c r="B52" s="95"/>
      <c r="C52" s="95"/>
      <c r="D52" s="95"/>
      <c r="E52" s="95"/>
      <c r="F52" s="95"/>
      <c r="G52" s="95"/>
      <c r="H52" s="95"/>
      <c r="I52" s="95"/>
      <c r="J52" s="95"/>
    </row>
    <row r="53" spans="1:10" x14ac:dyDescent="0.2">
      <c r="B53" s="95"/>
      <c r="C53" s="95"/>
      <c r="D53" s="95"/>
      <c r="E53" s="95"/>
      <c r="F53" s="95"/>
      <c r="G53" s="95"/>
      <c r="H53" s="95"/>
      <c r="I53" s="95"/>
      <c r="J53" s="95"/>
    </row>
  </sheetData>
  <sheetProtection sheet="1"/>
  <mergeCells count="10">
    <mergeCell ref="A31:J31"/>
    <mergeCell ref="A35:J35"/>
    <mergeCell ref="A39:J39"/>
    <mergeCell ref="A43:J43"/>
    <mergeCell ref="A7:J7"/>
    <mergeCell ref="A11:J11"/>
    <mergeCell ref="A15:J15"/>
    <mergeCell ref="A19:J19"/>
    <mergeCell ref="A23:J23"/>
    <mergeCell ref="A27:J27"/>
  </mergeCells>
  <hyperlinks>
    <hyperlink ref="A49" r:id="rId1" display="© Commonwealth of Australia 2016"/>
  </hyperlinks>
  <pageMargins left="0.7" right="0.7" top="0.75" bottom="0.75" header="0.3" footer="0.3"/>
  <pageSetup paperSize="9" fitToHeight="0" orientation="portrait" verticalDpi="0" r:id="rId2"/>
  <drawing r:id="rId3"/>
  <legacy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14"/>
  <sheetViews>
    <sheetView workbookViewId="0"/>
    <sheetView workbookViewId="1"/>
  </sheetViews>
  <sheetFormatPr defaultRowHeight="15" x14ac:dyDescent="0.25"/>
  <cols>
    <col min="1" max="2" width="9.140625" style="21"/>
    <col min="3" max="3" width="34.28515625" style="21" bestFit="1" customWidth="1"/>
    <col min="4" max="4" width="11.5703125" style="21" bestFit="1" customWidth="1"/>
    <col min="5" max="16384" width="9.140625" style="21"/>
  </cols>
  <sheetData>
    <row r="5" spans="3:5" x14ac:dyDescent="0.25">
      <c r="D5" s="21" t="s">
        <v>268</v>
      </c>
    </row>
    <row r="6" spans="3:5" x14ac:dyDescent="0.25">
      <c r="C6" s="21">
        <f>[1]Table_1!$A$10</f>
        <v>2019</v>
      </c>
      <c r="D6" s="77">
        <f>'Motor Vehicle Counts'!J10</f>
        <v>14504148</v>
      </c>
    </row>
    <row r="8" spans="3:5" x14ac:dyDescent="0.25">
      <c r="D8" s="21" t="s">
        <v>269</v>
      </c>
    </row>
    <row r="9" spans="3:5" x14ac:dyDescent="0.25">
      <c r="C9" s="21">
        <f>[1]Table_1!$A$10</f>
        <v>2019</v>
      </c>
      <c r="D9" s="77">
        <f>'Motor Vehicle Counts'!J18</f>
        <v>3313418</v>
      </c>
    </row>
    <row r="11" spans="3:5" x14ac:dyDescent="0.25">
      <c r="D11" s="21" t="s">
        <v>83</v>
      </c>
      <c r="E11" s="21" t="s">
        <v>270</v>
      </c>
    </row>
    <row r="12" spans="3:5" x14ac:dyDescent="0.25">
      <c r="C12" s="21" t="s">
        <v>268</v>
      </c>
      <c r="D12" s="96">
        <f>D6</f>
        <v>14504148</v>
      </c>
      <c r="E12" s="1">
        <f>D12/$D$14</f>
        <v>0.81403644021860222</v>
      </c>
    </row>
    <row r="13" spans="3:5" x14ac:dyDescent="0.25">
      <c r="C13" s="21" t="s">
        <v>269</v>
      </c>
      <c r="D13" s="96">
        <f>D9</f>
        <v>3313418</v>
      </c>
      <c r="E13" s="1">
        <f t="shared" ref="E13:E14" si="0">D13/$D$14</f>
        <v>0.18596355978139775</v>
      </c>
    </row>
    <row r="14" spans="3:5" x14ac:dyDescent="0.25">
      <c r="C14" s="21" t="s">
        <v>107</v>
      </c>
      <c r="D14" s="96">
        <f>SUM(D12:D13)</f>
        <v>17817566</v>
      </c>
      <c r="E14" s="1">
        <f t="shared" si="0"/>
        <v>1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294"/>
  <sheetViews>
    <sheetView workbookViewId="0"/>
    <sheetView workbookViewId="1"/>
  </sheetViews>
  <sheetFormatPr defaultColWidth="14.7109375" defaultRowHeight="11.25" x14ac:dyDescent="0.2"/>
  <cols>
    <col min="1" max="9" width="14.7109375" style="182"/>
    <col min="10" max="10" width="14.7109375" style="183"/>
    <col min="11" max="16384" width="14.7109375" style="182"/>
  </cols>
  <sheetData>
    <row r="1" spans="1:28" s="176" customFormat="1" ht="99.95" customHeight="1" x14ac:dyDescent="0.2">
      <c r="B1" s="177" t="s">
        <v>372</v>
      </c>
      <c r="C1" s="177" t="s">
        <v>373</v>
      </c>
      <c r="D1" s="177" t="s">
        <v>374</v>
      </c>
      <c r="E1" s="177" t="s">
        <v>375</v>
      </c>
      <c r="F1" s="177" t="s">
        <v>376</v>
      </c>
      <c r="G1" s="177" t="s">
        <v>377</v>
      </c>
      <c r="H1" s="177" t="s">
        <v>378</v>
      </c>
      <c r="I1" s="177" t="s">
        <v>379</v>
      </c>
      <c r="J1" s="178" t="s">
        <v>380</v>
      </c>
      <c r="K1" s="177" t="s">
        <v>381</v>
      </c>
      <c r="L1" s="177" t="s">
        <v>382</v>
      </c>
      <c r="M1" s="177" t="s">
        <v>383</v>
      </c>
      <c r="N1" s="177" t="s">
        <v>384</v>
      </c>
      <c r="O1" s="177" t="s">
        <v>385</v>
      </c>
      <c r="P1" s="177" t="s">
        <v>386</v>
      </c>
      <c r="Q1" s="177" t="s">
        <v>387</v>
      </c>
      <c r="R1" s="177" t="s">
        <v>388</v>
      </c>
      <c r="S1" s="177" t="s">
        <v>389</v>
      </c>
      <c r="T1" s="177" t="s">
        <v>390</v>
      </c>
      <c r="U1" s="177" t="s">
        <v>391</v>
      </c>
      <c r="V1" s="177" t="s">
        <v>392</v>
      </c>
      <c r="W1" s="177" t="s">
        <v>393</v>
      </c>
      <c r="X1" s="177" t="s">
        <v>394</v>
      </c>
      <c r="Y1" s="177" t="s">
        <v>395</v>
      </c>
      <c r="Z1" s="177" t="s">
        <v>396</v>
      </c>
      <c r="AA1" s="177" t="s">
        <v>397</v>
      </c>
      <c r="AB1" s="177" t="s">
        <v>398</v>
      </c>
    </row>
    <row r="2" spans="1:28" x14ac:dyDescent="0.2">
      <c r="A2" s="179" t="s">
        <v>399</v>
      </c>
      <c r="B2" s="180" t="s">
        <v>400</v>
      </c>
      <c r="C2" s="180" t="s">
        <v>400</v>
      </c>
      <c r="D2" s="180" t="s">
        <v>400</v>
      </c>
      <c r="E2" s="180" t="s">
        <v>400</v>
      </c>
      <c r="F2" s="180" t="s">
        <v>400</v>
      </c>
      <c r="G2" s="180" t="s">
        <v>400</v>
      </c>
      <c r="H2" s="180" t="s">
        <v>400</v>
      </c>
      <c r="I2" s="180" t="s">
        <v>400</v>
      </c>
      <c r="J2" s="181" t="s">
        <v>400</v>
      </c>
      <c r="K2" s="180" t="s">
        <v>401</v>
      </c>
      <c r="L2" s="180" t="s">
        <v>401</v>
      </c>
      <c r="M2" s="180" t="s">
        <v>401</v>
      </c>
      <c r="N2" s="180" t="s">
        <v>401</v>
      </c>
      <c r="O2" s="180" t="s">
        <v>401</v>
      </c>
      <c r="P2" s="180" t="s">
        <v>401</v>
      </c>
      <c r="Q2" s="180" t="s">
        <v>401</v>
      </c>
      <c r="R2" s="180" t="s">
        <v>401</v>
      </c>
      <c r="S2" s="180" t="s">
        <v>401</v>
      </c>
      <c r="T2" s="180" t="s">
        <v>401</v>
      </c>
      <c r="U2" s="180" t="s">
        <v>401</v>
      </c>
      <c r="V2" s="180" t="s">
        <v>401</v>
      </c>
      <c r="W2" s="180" t="s">
        <v>401</v>
      </c>
      <c r="X2" s="180" t="s">
        <v>401</v>
      </c>
      <c r="Y2" s="180" t="s">
        <v>401</v>
      </c>
      <c r="Z2" s="180" t="s">
        <v>401</v>
      </c>
      <c r="AA2" s="180" t="s">
        <v>401</v>
      </c>
      <c r="AB2" s="180" t="s">
        <v>401</v>
      </c>
    </row>
    <row r="3" spans="1:28" x14ac:dyDescent="0.2">
      <c r="A3" s="179" t="s">
        <v>402</v>
      </c>
      <c r="B3" s="180" t="s">
        <v>403</v>
      </c>
      <c r="C3" s="180" t="s">
        <v>403</v>
      </c>
      <c r="D3" s="180" t="s">
        <v>403</v>
      </c>
      <c r="E3" s="180" t="s">
        <v>403</v>
      </c>
      <c r="F3" s="180" t="s">
        <v>403</v>
      </c>
      <c r="G3" s="180" t="s">
        <v>403</v>
      </c>
      <c r="H3" s="180" t="s">
        <v>403</v>
      </c>
      <c r="I3" s="180" t="s">
        <v>403</v>
      </c>
      <c r="J3" s="181" t="s">
        <v>403</v>
      </c>
      <c r="K3" s="180" t="s">
        <v>403</v>
      </c>
      <c r="L3" s="180" t="s">
        <v>403</v>
      </c>
      <c r="M3" s="180" t="s">
        <v>403</v>
      </c>
      <c r="N3" s="180" t="s">
        <v>403</v>
      </c>
      <c r="O3" s="180" t="s">
        <v>403</v>
      </c>
      <c r="P3" s="180" t="s">
        <v>403</v>
      </c>
      <c r="Q3" s="180" t="s">
        <v>403</v>
      </c>
      <c r="R3" s="180" t="s">
        <v>403</v>
      </c>
      <c r="S3" s="180" t="s">
        <v>403</v>
      </c>
      <c r="T3" s="180" t="s">
        <v>403</v>
      </c>
      <c r="U3" s="180" t="s">
        <v>403</v>
      </c>
      <c r="V3" s="180" t="s">
        <v>403</v>
      </c>
      <c r="W3" s="180" t="s">
        <v>403</v>
      </c>
      <c r="X3" s="180" t="s">
        <v>403</v>
      </c>
      <c r="Y3" s="180" t="s">
        <v>403</v>
      </c>
      <c r="Z3" s="180" t="s">
        <v>403</v>
      </c>
      <c r="AA3" s="180" t="s">
        <v>403</v>
      </c>
      <c r="AB3" s="180" t="s">
        <v>403</v>
      </c>
    </row>
    <row r="4" spans="1:28" x14ac:dyDescent="0.2">
      <c r="A4" s="179" t="s">
        <v>404</v>
      </c>
      <c r="B4" s="180" t="s">
        <v>405</v>
      </c>
      <c r="C4" s="180" t="s">
        <v>405</v>
      </c>
      <c r="D4" s="180" t="s">
        <v>405</v>
      </c>
      <c r="E4" s="180" t="s">
        <v>405</v>
      </c>
      <c r="F4" s="180" t="s">
        <v>405</v>
      </c>
      <c r="G4" s="180" t="s">
        <v>405</v>
      </c>
      <c r="H4" s="180" t="s">
        <v>405</v>
      </c>
      <c r="I4" s="180" t="s">
        <v>405</v>
      </c>
      <c r="J4" s="181" t="s">
        <v>405</v>
      </c>
      <c r="K4" s="180" t="s">
        <v>406</v>
      </c>
      <c r="L4" s="180" t="s">
        <v>406</v>
      </c>
      <c r="M4" s="180" t="s">
        <v>406</v>
      </c>
      <c r="N4" s="180" t="s">
        <v>406</v>
      </c>
      <c r="O4" s="180" t="s">
        <v>406</v>
      </c>
      <c r="P4" s="180" t="s">
        <v>406</v>
      </c>
      <c r="Q4" s="180" t="s">
        <v>406</v>
      </c>
      <c r="R4" s="180" t="s">
        <v>406</v>
      </c>
      <c r="S4" s="180" t="s">
        <v>406</v>
      </c>
      <c r="T4" s="180" t="s">
        <v>406</v>
      </c>
      <c r="U4" s="180" t="s">
        <v>406</v>
      </c>
      <c r="V4" s="180" t="s">
        <v>406</v>
      </c>
      <c r="W4" s="180" t="s">
        <v>406</v>
      </c>
      <c r="X4" s="180" t="s">
        <v>406</v>
      </c>
      <c r="Y4" s="180" t="s">
        <v>406</v>
      </c>
      <c r="Z4" s="180" t="s">
        <v>406</v>
      </c>
      <c r="AA4" s="180" t="s">
        <v>406</v>
      </c>
      <c r="AB4" s="180" t="s">
        <v>406</v>
      </c>
    </row>
    <row r="5" spans="1:28" x14ac:dyDescent="0.2">
      <c r="A5" s="179" t="s">
        <v>407</v>
      </c>
      <c r="B5" s="180" t="s">
        <v>408</v>
      </c>
      <c r="C5" s="180" t="s">
        <v>408</v>
      </c>
      <c r="D5" s="180" t="s">
        <v>408</v>
      </c>
      <c r="E5" s="180" t="s">
        <v>408</v>
      </c>
      <c r="F5" s="180" t="s">
        <v>408</v>
      </c>
      <c r="G5" s="180" t="s">
        <v>408</v>
      </c>
      <c r="H5" s="180" t="s">
        <v>408</v>
      </c>
      <c r="I5" s="180" t="s">
        <v>408</v>
      </c>
      <c r="J5" s="181" t="s">
        <v>408</v>
      </c>
      <c r="K5" s="180" t="s">
        <v>408</v>
      </c>
      <c r="L5" s="180" t="s">
        <v>408</v>
      </c>
      <c r="M5" s="180" t="s">
        <v>408</v>
      </c>
      <c r="N5" s="180" t="s">
        <v>408</v>
      </c>
      <c r="O5" s="180" t="s">
        <v>408</v>
      </c>
      <c r="P5" s="180" t="s">
        <v>408</v>
      </c>
      <c r="Q5" s="180" t="s">
        <v>408</v>
      </c>
      <c r="R5" s="180" t="s">
        <v>408</v>
      </c>
      <c r="S5" s="180" t="s">
        <v>408</v>
      </c>
      <c r="T5" s="180" t="s">
        <v>408</v>
      </c>
      <c r="U5" s="180" t="s">
        <v>408</v>
      </c>
      <c r="V5" s="180" t="s">
        <v>408</v>
      </c>
      <c r="W5" s="180" t="s">
        <v>408</v>
      </c>
      <c r="X5" s="180" t="s">
        <v>408</v>
      </c>
      <c r="Y5" s="180" t="s">
        <v>408</v>
      </c>
      <c r="Z5" s="180" t="s">
        <v>408</v>
      </c>
      <c r="AA5" s="180" t="s">
        <v>408</v>
      </c>
      <c r="AB5" s="180" t="s">
        <v>408</v>
      </c>
    </row>
    <row r="6" spans="1:28" x14ac:dyDescent="0.2">
      <c r="A6" s="179" t="s">
        <v>409</v>
      </c>
      <c r="B6" s="182">
        <v>3</v>
      </c>
      <c r="C6" s="182">
        <v>3</v>
      </c>
      <c r="D6" s="182">
        <v>3</v>
      </c>
      <c r="E6" s="182">
        <v>3</v>
      </c>
      <c r="F6" s="182">
        <v>3</v>
      </c>
      <c r="G6" s="182">
        <v>3</v>
      </c>
      <c r="H6" s="182">
        <v>3</v>
      </c>
      <c r="I6" s="182">
        <v>3</v>
      </c>
      <c r="J6" s="183">
        <v>3</v>
      </c>
      <c r="K6" s="182">
        <v>3</v>
      </c>
      <c r="L6" s="182">
        <v>3</v>
      </c>
      <c r="M6" s="182">
        <v>3</v>
      </c>
      <c r="N6" s="182">
        <v>3</v>
      </c>
      <c r="O6" s="182">
        <v>3</v>
      </c>
      <c r="P6" s="182">
        <v>3</v>
      </c>
      <c r="Q6" s="182">
        <v>3</v>
      </c>
      <c r="R6" s="182">
        <v>3</v>
      </c>
      <c r="S6" s="182">
        <v>3</v>
      </c>
      <c r="T6" s="182">
        <v>3</v>
      </c>
      <c r="U6" s="182">
        <v>3</v>
      </c>
      <c r="V6" s="182">
        <v>3</v>
      </c>
      <c r="W6" s="182">
        <v>3</v>
      </c>
      <c r="X6" s="182">
        <v>3</v>
      </c>
      <c r="Y6" s="182">
        <v>3</v>
      </c>
      <c r="Z6" s="182">
        <v>3</v>
      </c>
      <c r="AA6" s="182">
        <v>3</v>
      </c>
      <c r="AB6" s="182">
        <v>3</v>
      </c>
    </row>
    <row r="7" spans="1:28" s="185" customFormat="1" x14ac:dyDescent="0.2">
      <c r="A7" s="184" t="s">
        <v>410</v>
      </c>
      <c r="B7" s="185">
        <v>17777</v>
      </c>
      <c r="C7" s="185">
        <v>17777</v>
      </c>
      <c r="D7" s="185">
        <v>17777</v>
      </c>
      <c r="E7" s="185">
        <v>17777</v>
      </c>
      <c r="F7" s="185">
        <v>17777</v>
      </c>
      <c r="G7" s="185">
        <v>17777</v>
      </c>
      <c r="H7" s="185">
        <v>29465</v>
      </c>
      <c r="I7" s="185">
        <v>17777</v>
      </c>
      <c r="J7" s="186">
        <v>17777</v>
      </c>
      <c r="K7" s="185">
        <v>18142</v>
      </c>
      <c r="L7" s="185">
        <v>18142</v>
      </c>
      <c r="M7" s="185">
        <v>18142</v>
      </c>
      <c r="N7" s="185">
        <v>18142</v>
      </c>
      <c r="O7" s="185">
        <v>18142</v>
      </c>
      <c r="P7" s="185">
        <v>18142</v>
      </c>
      <c r="Q7" s="185">
        <v>29830</v>
      </c>
      <c r="R7" s="185">
        <v>18142</v>
      </c>
      <c r="S7" s="185">
        <v>18142</v>
      </c>
      <c r="T7" s="185">
        <v>17868</v>
      </c>
      <c r="U7" s="185">
        <v>17868</v>
      </c>
      <c r="V7" s="185">
        <v>17868</v>
      </c>
      <c r="W7" s="185">
        <v>17868</v>
      </c>
      <c r="X7" s="185">
        <v>17868</v>
      </c>
      <c r="Y7" s="185">
        <v>17868</v>
      </c>
      <c r="Z7" s="185">
        <v>29556</v>
      </c>
      <c r="AA7" s="185">
        <v>17868</v>
      </c>
      <c r="AB7" s="185">
        <v>17868</v>
      </c>
    </row>
    <row r="8" spans="1:28" s="185" customFormat="1" x14ac:dyDescent="0.2">
      <c r="A8" s="184" t="s">
        <v>411</v>
      </c>
      <c r="B8" s="185">
        <v>43617</v>
      </c>
      <c r="C8" s="185">
        <v>43617</v>
      </c>
      <c r="D8" s="185">
        <v>43617</v>
      </c>
      <c r="E8" s="185">
        <v>43617</v>
      </c>
      <c r="F8" s="185">
        <v>43617</v>
      </c>
      <c r="G8" s="185">
        <v>43617</v>
      </c>
      <c r="H8" s="185">
        <v>43617</v>
      </c>
      <c r="I8" s="185">
        <v>43617</v>
      </c>
      <c r="J8" s="186">
        <v>43617</v>
      </c>
      <c r="K8" s="185">
        <v>43617</v>
      </c>
      <c r="L8" s="185">
        <v>43617</v>
      </c>
      <c r="M8" s="185">
        <v>43617</v>
      </c>
      <c r="N8" s="185">
        <v>43617</v>
      </c>
      <c r="O8" s="185">
        <v>43617</v>
      </c>
      <c r="P8" s="185">
        <v>43617</v>
      </c>
      <c r="Q8" s="185">
        <v>43617</v>
      </c>
      <c r="R8" s="185">
        <v>43617</v>
      </c>
      <c r="S8" s="185">
        <v>43617</v>
      </c>
      <c r="T8" s="185">
        <v>43617</v>
      </c>
      <c r="U8" s="185">
        <v>43617</v>
      </c>
      <c r="V8" s="185">
        <v>43617</v>
      </c>
      <c r="W8" s="185">
        <v>43617</v>
      </c>
      <c r="X8" s="185">
        <v>43617</v>
      </c>
      <c r="Y8" s="185">
        <v>43617</v>
      </c>
      <c r="Z8" s="185">
        <v>43617</v>
      </c>
      <c r="AA8" s="185">
        <v>43617</v>
      </c>
      <c r="AB8" s="185">
        <v>43617</v>
      </c>
    </row>
    <row r="9" spans="1:28" x14ac:dyDescent="0.2">
      <c r="A9" s="179" t="s">
        <v>412</v>
      </c>
      <c r="B9" s="182">
        <v>284</v>
      </c>
      <c r="C9" s="182">
        <v>284</v>
      </c>
      <c r="D9" s="182">
        <v>284</v>
      </c>
      <c r="E9" s="182">
        <v>284</v>
      </c>
      <c r="F9" s="182">
        <v>284</v>
      </c>
      <c r="G9" s="182">
        <v>284</v>
      </c>
      <c r="H9" s="182">
        <v>156</v>
      </c>
      <c r="I9" s="182">
        <v>284</v>
      </c>
      <c r="J9" s="183">
        <v>284</v>
      </c>
      <c r="K9" s="182">
        <v>280</v>
      </c>
      <c r="L9" s="182">
        <v>280</v>
      </c>
      <c r="M9" s="182">
        <v>280</v>
      </c>
      <c r="N9" s="182">
        <v>280</v>
      </c>
      <c r="O9" s="182">
        <v>280</v>
      </c>
      <c r="P9" s="182">
        <v>280</v>
      </c>
      <c r="Q9" s="182">
        <v>152</v>
      </c>
      <c r="R9" s="182">
        <v>280</v>
      </c>
      <c r="S9" s="182">
        <v>280</v>
      </c>
      <c r="T9" s="182">
        <v>283</v>
      </c>
      <c r="U9" s="182">
        <v>283</v>
      </c>
      <c r="V9" s="182">
        <v>283</v>
      </c>
      <c r="W9" s="182">
        <v>283</v>
      </c>
      <c r="X9" s="182">
        <v>283</v>
      </c>
      <c r="Y9" s="182">
        <v>283</v>
      </c>
      <c r="Z9" s="182">
        <v>155</v>
      </c>
      <c r="AA9" s="182">
        <v>283</v>
      </c>
      <c r="AB9" s="182">
        <v>283</v>
      </c>
    </row>
    <row r="10" spans="1:28" x14ac:dyDescent="0.2">
      <c r="A10" s="179" t="s">
        <v>413</v>
      </c>
      <c r="B10" s="180" t="s">
        <v>414</v>
      </c>
      <c r="C10" s="180" t="s">
        <v>415</v>
      </c>
      <c r="D10" s="180" t="s">
        <v>416</v>
      </c>
      <c r="E10" s="180" t="s">
        <v>417</v>
      </c>
      <c r="F10" s="180" t="s">
        <v>418</v>
      </c>
      <c r="G10" s="180" t="s">
        <v>419</v>
      </c>
      <c r="H10" s="180" t="s">
        <v>420</v>
      </c>
      <c r="I10" s="180" t="s">
        <v>421</v>
      </c>
      <c r="J10" s="181" t="s">
        <v>422</v>
      </c>
      <c r="K10" s="180" t="s">
        <v>423</v>
      </c>
      <c r="L10" s="180" t="s">
        <v>424</v>
      </c>
      <c r="M10" s="180" t="s">
        <v>425</v>
      </c>
      <c r="N10" s="180" t="s">
        <v>426</v>
      </c>
      <c r="O10" s="180" t="s">
        <v>427</v>
      </c>
      <c r="P10" s="180" t="s">
        <v>428</v>
      </c>
      <c r="Q10" s="180" t="s">
        <v>429</v>
      </c>
      <c r="R10" s="180" t="s">
        <v>430</v>
      </c>
      <c r="S10" s="180" t="s">
        <v>431</v>
      </c>
      <c r="T10" s="180" t="s">
        <v>432</v>
      </c>
      <c r="U10" s="180" t="s">
        <v>433</v>
      </c>
      <c r="V10" s="180" t="s">
        <v>434</v>
      </c>
      <c r="W10" s="180" t="s">
        <v>435</v>
      </c>
      <c r="X10" s="180" t="s">
        <v>436</v>
      </c>
      <c r="Y10" s="180" t="s">
        <v>437</v>
      </c>
      <c r="Z10" s="180" t="s">
        <v>438</v>
      </c>
      <c r="AA10" s="180" t="s">
        <v>439</v>
      </c>
      <c r="AB10" s="180" t="s">
        <v>440</v>
      </c>
    </row>
    <row r="11" spans="1:28" x14ac:dyDescent="0.2">
      <c r="A11" s="22">
        <v>17777</v>
      </c>
      <c r="B11" s="20">
        <v>3.7</v>
      </c>
      <c r="C11" s="20">
        <v>3.8</v>
      </c>
      <c r="D11" s="20">
        <v>3.7</v>
      </c>
      <c r="E11" s="20">
        <v>3.8</v>
      </c>
      <c r="F11" s="20">
        <v>3.7</v>
      </c>
      <c r="G11" s="20">
        <v>3.8</v>
      </c>
      <c r="I11" s="20">
        <v>3.9</v>
      </c>
      <c r="J11" s="187">
        <v>3.7</v>
      </c>
    </row>
    <row r="12" spans="1:28" x14ac:dyDescent="0.2">
      <c r="A12" s="22">
        <v>17868</v>
      </c>
      <c r="B12" s="20">
        <v>3.7</v>
      </c>
      <c r="C12" s="20">
        <v>3.8</v>
      </c>
      <c r="D12" s="20">
        <v>3.7</v>
      </c>
      <c r="E12" s="20">
        <v>3.9</v>
      </c>
      <c r="F12" s="20">
        <v>3.8</v>
      </c>
      <c r="G12" s="20">
        <v>3.9</v>
      </c>
      <c r="I12" s="20">
        <v>4.0999999999999996</v>
      </c>
      <c r="J12" s="187">
        <v>3.8</v>
      </c>
      <c r="T12" s="20">
        <v>0</v>
      </c>
      <c r="U12" s="20">
        <v>0</v>
      </c>
      <c r="V12" s="20">
        <v>0</v>
      </c>
      <c r="W12" s="20">
        <v>2.6</v>
      </c>
      <c r="X12" s="20">
        <v>2.7</v>
      </c>
      <c r="Y12" s="20">
        <v>2.6</v>
      </c>
      <c r="AA12" s="20">
        <v>5.0999999999999996</v>
      </c>
      <c r="AB12" s="20">
        <v>2.7</v>
      </c>
    </row>
    <row r="13" spans="1:28" x14ac:dyDescent="0.2">
      <c r="A13" s="22">
        <v>17958</v>
      </c>
      <c r="B13" s="20">
        <v>3.9</v>
      </c>
      <c r="C13" s="20">
        <v>3.9</v>
      </c>
      <c r="D13" s="20">
        <v>3.8</v>
      </c>
      <c r="E13" s="20">
        <v>4</v>
      </c>
      <c r="F13" s="20">
        <v>3.9</v>
      </c>
      <c r="G13" s="20">
        <v>4</v>
      </c>
      <c r="I13" s="20">
        <v>4.0999999999999996</v>
      </c>
      <c r="J13" s="187">
        <v>3.9</v>
      </c>
      <c r="T13" s="20">
        <v>5.4</v>
      </c>
      <c r="U13" s="20">
        <v>2.6</v>
      </c>
      <c r="V13" s="20">
        <v>2.7</v>
      </c>
      <c r="W13" s="20">
        <v>2.6</v>
      </c>
      <c r="X13" s="20">
        <v>2.6</v>
      </c>
      <c r="Y13" s="20">
        <v>2.6</v>
      </c>
      <c r="AA13" s="20">
        <v>0</v>
      </c>
      <c r="AB13" s="20">
        <v>2.6</v>
      </c>
    </row>
    <row r="14" spans="1:28" x14ac:dyDescent="0.2">
      <c r="A14" s="22">
        <v>18050</v>
      </c>
      <c r="B14" s="20">
        <v>3.9</v>
      </c>
      <c r="C14" s="20">
        <v>4</v>
      </c>
      <c r="D14" s="20">
        <v>3.9</v>
      </c>
      <c r="E14" s="20">
        <v>4</v>
      </c>
      <c r="F14" s="20">
        <v>4</v>
      </c>
      <c r="G14" s="20">
        <v>4.0999999999999996</v>
      </c>
      <c r="I14" s="20">
        <v>4.2</v>
      </c>
      <c r="J14" s="187">
        <v>4</v>
      </c>
      <c r="T14" s="20">
        <v>0</v>
      </c>
      <c r="U14" s="20">
        <v>2.6</v>
      </c>
      <c r="V14" s="20">
        <v>2.6</v>
      </c>
      <c r="W14" s="20">
        <v>0</v>
      </c>
      <c r="X14" s="20">
        <v>2.6</v>
      </c>
      <c r="Y14" s="20">
        <v>2.5</v>
      </c>
      <c r="AA14" s="20">
        <v>2.4</v>
      </c>
      <c r="AB14" s="20">
        <v>2.6</v>
      </c>
    </row>
    <row r="15" spans="1:28" x14ac:dyDescent="0.2">
      <c r="A15" s="22">
        <v>18142</v>
      </c>
      <c r="B15" s="20">
        <v>4</v>
      </c>
      <c r="C15" s="20">
        <v>4.0999999999999996</v>
      </c>
      <c r="D15" s="20">
        <v>4</v>
      </c>
      <c r="E15" s="20">
        <v>4.0999999999999996</v>
      </c>
      <c r="F15" s="20">
        <v>4.0999999999999996</v>
      </c>
      <c r="G15" s="20">
        <v>4.0999999999999996</v>
      </c>
      <c r="I15" s="20">
        <v>4.3</v>
      </c>
      <c r="J15" s="187">
        <v>4.0999999999999996</v>
      </c>
      <c r="K15" s="20">
        <v>8.1</v>
      </c>
      <c r="L15" s="20">
        <v>7.9</v>
      </c>
      <c r="M15" s="20">
        <v>8.1</v>
      </c>
      <c r="N15" s="20">
        <v>7.9</v>
      </c>
      <c r="O15" s="20">
        <v>10.8</v>
      </c>
      <c r="P15" s="20">
        <v>7.9</v>
      </c>
      <c r="R15" s="20">
        <v>10.3</v>
      </c>
      <c r="S15" s="20">
        <v>10.8</v>
      </c>
      <c r="T15" s="20">
        <v>2.6</v>
      </c>
      <c r="U15" s="20">
        <v>2.5</v>
      </c>
      <c r="V15" s="20">
        <v>2.6</v>
      </c>
      <c r="W15" s="20">
        <v>2.5</v>
      </c>
      <c r="X15" s="20">
        <v>2.5</v>
      </c>
      <c r="Y15" s="20">
        <v>0</v>
      </c>
      <c r="AA15" s="20">
        <v>2.4</v>
      </c>
      <c r="AB15" s="20">
        <v>2.5</v>
      </c>
    </row>
    <row r="16" spans="1:28" x14ac:dyDescent="0.2">
      <c r="A16" s="22">
        <v>18233</v>
      </c>
      <c r="B16" s="20">
        <v>4.0999999999999996</v>
      </c>
      <c r="C16" s="20">
        <v>4.2</v>
      </c>
      <c r="D16" s="20">
        <v>4.0999999999999996</v>
      </c>
      <c r="E16" s="20">
        <v>4.0999999999999996</v>
      </c>
      <c r="F16" s="20">
        <v>4.2</v>
      </c>
      <c r="G16" s="20">
        <v>4.2</v>
      </c>
      <c r="I16" s="20">
        <v>4.3</v>
      </c>
      <c r="J16" s="187">
        <v>4.0999999999999996</v>
      </c>
      <c r="K16" s="20">
        <v>10.8</v>
      </c>
      <c r="L16" s="20">
        <v>10.5</v>
      </c>
      <c r="M16" s="20">
        <v>10.8</v>
      </c>
      <c r="N16" s="20">
        <v>5.0999999999999996</v>
      </c>
      <c r="O16" s="20">
        <v>10.5</v>
      </c>
      <c r="P16" s="20">
        <v>7.7</v>
      </c>
      <c r="R16" s="20">
        <v>4.9000000000000004</v>
      </c>
      <c r="S16" s="20">
        <v>7.9</v>
      </c>
      <c r="T16" s="20">
        <v>2.5</v>
      </c>
      <c r="U16" s="20">
        <v>2.4</v>
      </c>
      <c r="V16" s="20">
        <v>2.5</v>
      </c>
      <c r="W16" s="20">
        <v>0</v>
      </c>
      <c r="X16" s="20">
        <v>2.4</v>
      </c>
      <c r="Y16" s="20">
        <v>2.4</v>
      </c>
      <c r="AA16" s="20">
        <v>0</v>
      </c>
      <c r="AB16" s="20">
        <v>0</v>
      </c>
    </row>
    <row r="17" spans="1:28" x14ac:dyDescent="0.2">
      <c r="A17" s="22">
        <v>18323</v>
      </c>
      <c r="B17" s="20">
        <v>4.0999999999999996</v>
      </c>
      <c r="C17" s="20">
        <v>4.3</v>
      </c>
      <c r="D17" s="20">
        <v>4.0999999999999996</v>
      </c>
      <c r="E17" s="20">
        <v>4.2</v>
      </c>
      <c r="F17" s="20">
        <v>4.2</v>
      </c>
      <c r="G17" s="20">
        <v>4.2</v>
      </c>
      <c r="I17" s="20">
        <v>4.4000000000000004</v>
      </c>
      <c r="J17" s="187">
        <v>4.2</v>
      </c>
      <c r="K17" s="20">
        <v>5.0999999999999996</v>
      </c>
      <c r="L17" s="20">
        <v>10.3</v>
      </c>
      <c r="M17" s="20">
        <v>7.9</v>
      </c>
      <c r="N17" s="20">
        <v>5</v>
      </c>
      <c r="O17" s="20">
        <v>7.7</v>
      </c>
      <c r="P17" s="20">
        <v>5</v>
      </c>
      <c r="R17" s="20">
        <v>7.3</v>
      </c>
      <c r="S17" s="20">
        <v>7.7</v>
      </c>
      <c r="T17" s="20">
        <v>0</v>
      </c>
      <c r="U17" s="20">
        <v>2.4</v>
      </c>
      <c r="V17" s="20">
        <v>0</v>
      </c>
      <c r="W17" s="20">
        <v>2.4</v>
      </c>
      <c r="X17" s="20">
        <v>0</v>
      </c>
      <c r="Y17" s="20">
        <v>0</v>
      </c>
      <c r="AA17" s="20">
        <v>2.2999999999999998</v>
      </c>
      <c r="AB17" s="20">
        <v>2.4</v>
      </c>
    </row>
    <row r="18" spans="1:28" x14ac:dyDescent="0.2">
      <c r="A18" s="22">
        <v>18415</v>
      </c>
      <c r="B18" s="20">
        <v>4.3</v>
      </c>
      <c r="C18" s="20">
        <v>4.4000000000000004</v>
      </c>
      <c r="D18" s="20">
        <v>4.2</v>
      </c>
      <c r="E18" s="20">
        <v>4.4000000000000004</v>
      </c>
      <c r="F18" s="20">
        <v>4.4000000000000004</v>
      </c>
      <c r="G18" s="20">
        <v>4.3</v>
      </c>
      <c r="I18" s="20">
        <v>4.5999999999999996</v>
      </c>
      <c r="J18" s="187">
        <v>4.3</v>
      </c>
      <c r="K18" s="20">
        <v>10.3</v>
      </c>
      <c r="L18" s="20">
        <v>10</v>
      </c>
      <c r="M18" s="20">
        <v>7.7</v>
      </c>
      <c r="N18" s="20">
        <v>10</v>
      </c>
      <c r="O18" s="20">
        <v>10</v>
      </c>
      <c r="P18" s="20">
        <v>4.9000000000000004</v>
      </c>
      <c r="R18" s="20">
        <v>9.5</v>
      </c>
      <c r="S18" s="20">
        <v>7.5</v>
      </c>
      <c r="T18" s="20">
        <v>4.9000000000000004</v>
      </c>
      <c r="U18" s="20">
        <v>2.2999999999999998</v>
      </c>
      <c r="V18" s="20">
        <v>2.4</v>
      </c>
      <c r="W18" s="20">
        <v>4.8</v>
      </c>
      <c r="X18" s="20">
        <v>4.8</v>
      </c>
      <c r="Y18" s="20">
        <v>2.4</v>
      </c>
      <c r="AA18" s="20">
        <v>4.5</v>
      </c>
      <c r="AB18" s="20">
        <v>2.4</v>
      </c>
    </row>
    <row r="19" spans="1:28" x14ac:dyDescent="0.2">
      <c r="A19" s="22">
        <v>18507</v>
      </c>
      <c r="B19" s="20">
        <v>4.4000000000000004</v>
      </c>
      <c r="C19" s="20">
        <v>4.5</v>
      </c>
      <c r="D19" s="20">
        <v>4.3</v>
      </c>
      <c r="E19" s="20">
        <v>4.4000000000000004</v>
      </c>
      <c r="F19" s="20">
        <v>4.5</v>
      </c>
      <c r="G19" s="20">
        <v>4.4000000000000004</v>
      </c>
      <c r="I19" s="20">
        <v>4.7</v>
      </c>
      <c r="J19" s="187">
        <v>4.4000000000000004</v>
      </c>
      <c r="K19" s="20">
        <v>10</v>
      </c>
      <c r="L19" s="20">
        <v>9.8000000000000007</v>
      </c>
      <c r="M19" s="20">
        <v>7.5</v>
      </c>
      <c r="N19" s="20">
        <v>7.3</v>
      </c>
      <c r="O19" s="20">
        <v>9.8000000000000007</v>
      </c>
      <c r="P19" s="20">
        <v>7.3</v>
      </c>
      <c r="R19" s="20">
        <v>9.3000000000000007</v>
      </c>
      <c r="S19" s="20">
        <v>7.3</v>
      </c>
      <c r="T19" s="20">
        <v>2.2999999999999998</v>
      </c>
      <c r="U19" s="20">
        <v>2.2999999999999998</v>
      </c>
      <c r="V19" s="20">
        <v>2.4</v>
      </c>
      <c r="W19" s="20">
        <v>0</v>
      </c>
      <c r="X19" s="20">
        <v>2.2999999999999998</v>
      </c>
      <c r="Y19" s="20">
        <v>2.2999999999999998</v>
      </c>
      <c r="AA19" s="20">
        <v>2.2000000000000002</v>
      </c>
      <c r="AB19" s="20">
        <v>2.2999999999999998</v>
      </c>
    </row>
    <row r="20" spans="1:28" x14ac:dyDescent="0.2">
      <c r="A20" s="22">
        <v>18598</v>
      </c>
      <c r="B20" s="20">
        <v>4.5999999999999996</v>
      </c>
      <c r="C20" s="20">
        <v>4.5999999999999996</v>
      </c>
      <c r="D20" s="20">
        <v>4.4000000000000004</v>
      </c>
      <c r="E20" s="20">
        <v>4.5999999999999996</v>
      </c>
      <c r="F20" s="20">
        <v>4.5999999999999996</v>
      </c>
      <c r="G20" s="20">
        <v>4.5</v>
      </c>
      <c r="I20" s="20">
        <v>4.8</v>
      </c>
      <c r="J20" s="187">
        <v>4.5999999999999996</v>
      </c>
      <c r="K20" s="20">
        <v>12.2</v>
      </c>
      <c r="L20" s="20">
        <v>9.5</v>
      </c>
      <c r="M20" s="20">
        <v>7.3</v>
      </c>
      <c r="N20" s="20">
        <v>12.2</v>
      </c>
      <c r="O20" s="20">
        <v>9.5</v>
      </c>
      <c r="P20" s="20">
        <v>7.1</v>
      </c>
      <c r="R20" s="20">
        <v>11.6</v>
      </c>
      <c r="S20" s="20">
        <v>12.2</v>
      </c>
      <c r="T20" s="20">
        <v>4.5</v>
      </c>
      <c r="U20" s="20">
        <v>2.2000000000000002</v>
      </c>
      <c r="V20" s="20">
        <v>2.2999999999999998</v>
      </c>
      <c r="W20" s="20">
        <v>4.5</v>
      </c>
      <c r="X20" s="20">
        <v>2.2000000000000002</v>
      </c>
      <c r="Y20" s="20">
        <v>2.2999999999999998</v>
      </c>
      <c r="AA20" s="20">
        <v>2.1</v>
      </c>
      <c r="AB20" s="20">
        <v>4.5</v>
      </c>
    </row>
    <row r="21" spans="1:28" x14ac:dyDescent="0.2">
      <c r="A21" s="22">
        <v>18688</v>
      </c>
      <c r="B21" s="20">
        <v>4.7</v>
      </c>
      <c r="C21" s="20">
        <v>4.9000000000000004</v>
      </c>
      <c r="D21" s="20">
        <v>4.7</v>
      </c>
      <c r="E21" s="20">
        <v>4.8</v>
      </c>
      <c r="F21" s="20">
        <v>4.8</v>
      </c>
      <c r="G21" s="20">
        <v>4.8</v>
      </c>
      <c r="I21" s="20">
        <v>5.0999999999999996</v>
      </c>
      <c r="J21" s="187">
        <v>4.8</v>
      </c>
      <c r="K21" s="20">
        <v>14.6</v>
      </c>
      <c r="L21" s="20">
        <v>14</v>
      </c>
      <c r="M21" s="20">
        <v>14.6</v>
      </c>
      <c r="N21" s="20">
        <v>14.3</v>
      </c>
      <c r="O21" s="20">
        <v>14.3</v>
      </c>
      <c r="P21" s="20">
        <v>14.3</v>
      </c>
      <c r="R21" s="20">
        <v>15.9</v>
      </c>
      <c r="S21" s="20">
        <v>14.3</v>
      </c>
      <c r="T21" s="20">
        <v>2.2000000000000002</v>
      </c>
      <c r="U21" s="20">
        <v>6.5</v>
      </c>
      <c r="V21" s="20">
        <v>6.8</v>
      </c>
      <c r="W21" s="20">
        <v>4.3</v>
      </c>
      <c r="X21" s="20">
        <v>4.3</v>
      </c>
      <c r="Y21" s="20">
        <v>6.7</v>
      </c>
      <c r="AA21" s="20">
        <v>6.3</v>
      </c>
      <c r="AB21" s="20">
        <v>4.3</v>
      </c>
    </row>
    <row r="22" spans="1:28" x14ac:dyDescent="0.2">
      <c r="A22" s="22">
        <v>18780</v>
      </c>
      <c r="B22" s="20">
        <v>5.0999999999999996</v>
      </c>
      <c r="C22" s="20">
        <v>5.0999999999999996</v>
      </c>
      <c r="D22" s="20">
        <v>4.9000000000000004</v>
      </c>
      <c r="E22" s="20">
        <v>5.0999999999999996</v>
      </c>
      <c r="F22" s="20">
        <v>5.0999999999999996</v>
      </c>
      <c r="G22" s="20">
        <v>5.2</v>
      </c>
      <c r="I22" s="20">
        <v>5.4</v>
      </c>
      <c r="J22" s="187">
        <v>5.0999999999999996</v>
      </c>
      <c r="K22" s="20">
        <v>18.600000000000001</v>
      </c>
      <c r="L22" s="20">
        <v>15.9</v>
      </c>
      <c r="M22" s="20">
        <v>16.7</v>
      </c>
      <c r="N22" s="20">
        <v>15.9</v>
      </c>
      <c r="O22" s="20">
        <v>15.9</v>
      </c>
      <c r="P22" s="20">
        <v>20.9</v>
      </c>
      <c r="R22" s="20">
        <v>17.399999999999999</v>
      </c>
      <c r="S22" s="20">
        <v>18.600000000000001</v>
      </c>
      <c r="T22" s="20">
        <v>8.5</v>
      </c>
      <c r="U22" s="20">
        <v>4.0999999999999996</v>
      </c>
      <c r="V22" s="20">
        <v>4.3</v>
      </c>
      <c r="W22" s="20">
        <v>6.3</v>
      </c>
      <c r="X22" s="20">
        <v>6.3</v>
      </c>
      <c r="Y22" s="20">
        <v>8.3000000000000007</v>
      </c>
      <c r="AA22" s="20">
        <v>5.9</v>
      </c>
      <c r="AB22" s="20">
        <v>6.3</v>
      </c>
    </row>
    <row r="23" spans="1:28" x14ac:dyDescent="0.2">
      <c r="A23" s="22">
        <v>18872</v>
      </c>
      <c r="B23" s="20">
        <v>5.4</v>
      </c>
      <c r="C23" s="20">
        <v>5.4</v>
      </c>
      <c r="D23" s="20">
        <v>5.0999999999999996</v>
      </c>
      <c r="E23" s="20">
        <v>5.4</v>
      </c>
      <c r="F23" s="20">
        <v>5.4</v>
      </c>
      <c r="G23" s="20">
        <v>5.4</v>
      </c>
      <c r="I23" s="20">
        <v>5.7</v>
      </c>
      <c r="J23" s="187">
        <v>5.3</v>
      </c>
      <c r="K23" s="20">
        <v>22.7</v>
      </c>
      <c r="L23" s="20">
        <v>20</v>
      </c>
      <c r="M23" s="20">
        <v>18.600000000000001</v>
      </c>
      <c r="N23" s="20">
        <v>22.7</v>
      </c>
      <c r="O23" s="20">
        <v>20</v>
      </c>
      <c r="P23" s="20">
        <v>22.7</v>
      </c>
      <c r="R23" s="20">
        <v>21.3</v>
      </c>
      <c r="S23" s="20">
        <v>20.5</v>
      </c>
      <c r="T23" s="20">
        <v>5.9</v>
      </c>
      <c r="U23" s="20">
        <v>5.9</v>
      </c>
      <c r="V23" s="20">
        <v>4.0999999999999996</v>
      </c>
      <c r="W23" s="20">
        <v>5.9</v>
      </c>
      <c r="X23" s="20">
        <v>5.9</v>
      </c>
      <c r="Y23" s="20">
        <v>3.8</v>
      </c>
      <c r="AA23" s="20">
        <v>5.6</v>
      </c>
      <c r="AB23" s="20">
        <v>3.9</v>
      </c>
    </row>
    <row r="24" spans="1:28" x14ac:dyDescent="0.2">
      <c r="A24" s="22">
        <v>18963</v>
      </c>
      <c r="B24" s="20">
        <v>5.7</v>
      </c>
      <c r="C24" s="20">
        <v>5.8</v>
      </c>
      <c r="D24" s="20">
        <v>5.6</v>
      </c>
      <c r="E24" s="20">
        <v>5.7</v>
      </c>
      <c r="F24" s="20">
        <v>5.7</v>
      </c>
      <c r="G24" s="20">
        <v>5.8</v>
      </c>
      <c r="I24" s="20">
        <v>6</v>
      </c>
      <c r="J24" s="187">
        <v>5.7</v>
      </c>
      <c r="K24" s="20">
        <v>23.9</v>
      </c>
      <c r="L24" s="20">
        <v>26.1</v>
      </c>
      <c r="M24" s="20">
        <v>27.3</v>
      </c>
      <c r="N24" s="20">
        <v>23.9</v>
      </c>
      <c r="O24" s="20">
        <v>23.9</v>
      </c>
      <c r="P24" s="20">
        <v>28.9</v>
      </c>
      <c r="R24" s="20">
        <v>25</v>
      </c>
      <c r="S24" s="20">
        <v>23.9</v>
      </c>
      <c r="T24" s="20">
        <v>5.6</v>
      </c>
      <c r="U24" s="20">
        <v>7.4</v>
      </c>
      <c r="V24" s="20">
        <v>9.8000000000000007</v>
      </c>
      <c r="W24" s="20">
        <v>5.6</v>
      </c>
      <c r="X24" s="20">
        <v>5.6</v>
      </c>
      <c r="Y24" s="20">
        <v>7.4</v>
      </c>
      <c r="AA24" s="20">
        <v>5.3</v>
      </c>
      <c r="AB24" s="20">
        <v>7.5</v>
      </c>
    </row>
    <row r="25" spans="1:28" x14ac:dyDescent="0.2">
      <c r="A25" s="22">
        <v>19054</v>
      </c>
      <c r="B25" s="20">
        <v>5.9</v>
      </c>
      <c r="C25" s="20">
        <v>5.9</v>
      </c>
      <c r="D25" s="20">
        <v>5.8</v>
      </c>
      <c r="E25" s="20">
        <v>5.9</v>
      </c>
      <c r="F25" s="20">
        <v>6</v>
      </c>
      <c r="G25" s="20">
        <v>6</v>
      </c>
      <c r="I25" s="20">
        <v>6.2</v>
      </c>
      <c r="J25" s="187">
        <v>5.9</v>
      </c>
      <c r="K25" s="20">
        <v>25.5</v>
      </c>
      <c r="L25" s="20">
        <v>20.399999999999999</v>
      </c>
      <c r="M25" s="20">
        <v>23.4</v>
      </c>
      <c r="N25" s="20">
        <v>22.9</v>
      </c>
      <c r="O25" s="20">
        <v>25</v>
      </c>
      <c r="P25" s="20">
        <v>25</v>
      </c>
      <c r="R25" s="20">
        <v>21.6</v>
      </c>
      <c r="S25" s="20">
        <v>22.9</v>
      </c>
      <c r="T25" s="20">
        <v>3.5</v>
      </c>
      <c r="U25" s="20">
        <v>1.7</v>
      </c>
      <c r="V25" s="20">
        <v>3.6</v>
      </c>
      <c r="W25" s="20">
        <v>3.5</v>
      </c>
      <c r="X25" s="20">
        <v>5.3</v>
      </c>
      <c r="Y25" s="20">
        <v>3.4</v>
      </c>
      <c r="AA25" s="20">
        <v>3.3</v>
      </c>
      <c r="AB25" s="20">
        <v>3.5</v>
      </c>
    </row>
    <row r="26" spans="1:28" x14ac:dyDescent="0.2">
      <c r="A26" s="22">
        <v>19146</v>
      </c>
      <c r="B26" s="20">
        <v>6.1</v>
      </c>
      <c r="C26" s="20">
        <v>6.2</v>
      </c>
      <c r="D26" s="20">
        <v>5.9</v>
      </c>
      <c r="E26" s="20">
        <v>6.2</v>
      </c>
      <c r="F26" s="20">
        <v>6.2</v>
      </c>
      <c r="G26" s="20">
        <v>6.2</v>
      </c>
      <c r="I26" s="20">
        <v>6.5</v>
      </c>
      <c r="J26" s="187">
        <v>6.1</v>
      </c>
      <c r="K26" s="20">
        <v>19.600000000000001</v>
      </c>
      <c r="L26" s="20">
        <v>21.6</v>
      </c>
      <c r="M26" s="20">
        <v>20.399999999999999</v>
      </c>
      <c r="N26" s="20">
        <v>21.6</v>
      </c>
      <c r="O26" s="20">
        <v>21.6</v>
      </c>
      <c r="P26" s="20">
        <v>19.2</v>
      </c>
      <c r="R26" s="20">
        <v>20.399999999999999</v>
      </c>
      <c r="S26" s="20">
        <v>19.600000000000001</v>
      </c>
      <c r="T26" s="20">
        <v>3.4</v>
      </c>
      <c r="U26" s="20">
        <v>5.0999999999999996</v>
      </c>
      <c r="V26" s="20">
        <v>1.7</v>
      </c>
      <c r="W26" s="20">
        <v>5.0999999999999996</v>
      </c>
      <c r="X26" s="20">
        <v>3.3</v>
      </c>
      <c r="Y26" s="20">
        <v>3.3</v>
      </c>
      <c r="AA26" s="20">
        <v>4.8</v>
      </c>
      <c r="AB26" s="20">
        <v>3.4</v>
      </c>
    </row>
    <row r="27" spans="1:28" x14ac:dyDescent="0.2">
      <c r="A27" s="22">
        <v>19238</v>
      </c>
      <c r="B27" s="20">
        <v>6.2</v>
      </c>
      <c r="C27" s="20">
        <v>6.3</v>
      </c>
      <c r="D27" s="20">
        <v>6.1</v>
      </c>
      <c r="E27" s="20">
        <v>6.3</v>
      </c>
      <c r="F27" s="20">
        <v>6.4</v>
      </c>
      <c r="G27" s="20">
        <v>6.3</v>
      </c>
      <c r="I27" s="20">
        <v>6.7</v>
      </c>
      <c r="J27" s="187">
        <v>6.2</v>
      </c>
      <c r="K27" s="20">
        <v>14.8</v>
      </c>
      <c r="L27" s="20">
        <v>16.7</v>
      </c>
      <c r="M27" s="20">
        <v>19.600000000000001</v>
      </c>
      <c r="N27" s="20">
        <v>16.7</v>
      </c>
      <c r="O27" s="20">
        <v>18.5</v>
      </c>
      <c r="P27" s="20">
        <v>16.7</v>
      </c>
      <c r="R27" s="20">
        <v>17.5</v>
      </c>
      <c r="S27" s="20">
        <v>17</v>
      </c>
      <c r="T27" s="20">
        <v>1.6</v>
      </c>
      <c r="U27" s="20">
        <v>1.6</v>
      </c>
      <c r="V27" s="20">
        <v>3.4</v>
      </c>
      <c r="W27" s="20">
        <v>1.6</v>
      </c>
      <c r="X27" s="20">
        <v>3.2</v>
      </c>
      <c r="Y27" s="20">
        <v>1.6</v>
      </c>
      <c r="AA27" s="20">
        <v>3.1</v>
      </c>
      <c r="AB27" s="20">
        <v>1.6</v>
      </c>
    </row>
    <row r="28" spans="1:28" x14ac:dyDescent="0.2">
      <c r="A28" s="22">
        <v>19329</v>
      </c>
      <c r="B28" s="20">
        <v>6.3</v>
      </c>
      <c r="C28" s="20">
        <v>6.3</v>
      </c>
      <c r="D28" s="20">
        <v>6.1</v>
      </c>
      <c r="E28" s="20">
        <v>6.3</v>
      </c>
      <c r="F28" s="20">
        <v>6.4</v>
      </c>
      <c r="G28" s="20">
        <v>6.4</v>
      </c>
      <c r="I28" s="20">
        <v>6.7</v>
      </c>
      <c r="J28" s="187">
        <v>6.3</v>
      </c>
      <c r="K28" s="20">
        <v>10.5</v>
      </c>
      <c r="L28" s="20">
        <v>8.6</v>
      </c>
      <c r="M28" s="20">
        <v>8.9</v>
      </c>
      <c r="N28" s="20">
        <v>10.5</v>
      </c>
      <c r="O28" s="20">
        <v>12.3</v>
      </c>
      <c r="P28" s="20">
        <v>10.3</v>
      </c>
      <c r="R28" s="20">
        <v>11.7</v>
      </c>
      <c r="S28" s="20">
        <v>10.5</v>
      </c>
      <c r="T28" s="20">
        <v>1.6</v>
      </c>
      <c r="U28" s="20">
        <v>0</v>
      </c>
      <c r="V28" s="20">
        <v>0</v>
      </c>
      <c r="W28" s="20">
        <v>0</v>
      </c>
      <c r="X28" s="20">
        <v>0</v>
      </c>
      <c r="Y28" s="20">
        <v>1.6</v>
      </c>
      <c r="AA28" s="20">
        <v>0</v>
      </c>
      <c r="AB28" s="20">
        <v>1.6</v>
      </c>
    </row>
    <row r="29" spans="1:28" x14ac:dyDescent="0.2">
      <c r="A29" s="22">
        <v>19419</v>
      </c>
      <c r="B29" s="20">
        <v>6.3</v>
      </c>
      <c r="C29" s="20">
        <v>6.4</v>
      </c>
      <c r="D29" s="20">
        <v>6.1</v>
      </c>
      <c r="E29" s="20">
        <v>6.4</v>
      </c>
      <c r="F29" s="20">
        <v>6.5</v>
      </c>
      <c r="G29" s="20">
        <v>6.5</v>
      </c>
      <c r="I29" s="20">
        <v>6.8</v>
      </c>
      <c r="J29" s="187">
        <v>6.3</v>
      </c>
      <c r="K29" s="20">
        <v>6.8</v>
      </c>
      <c r="L29" s="20">
        <v>8.5</v>
      </c>
      <c r="M29" s="20">
        <v>5.2</v>
      </c>
      <c r="N29" s="20">
        <v>8.5</v>
      </c>
      <c r="O29" s="20">
        <v>8.3000000000000007</v>
      </c>
      <c r="P29" s="20">
        <v>8.3000000000000007</v>
      </c>
      <c r="R29" s="20">
        <v>9.6999999999999993</v>
      </c>
      <c r="S29" s="20">
        <v>6.8</v>
      </c>
      <c r="T29" s="20">
        <v>0</v>
      </c>
      <c r="U29" s="20">
        <v>1.6</v>
      </c>
      <c r="V29" s="20">
        <v>0</v>
      </c>
      <c r="W29" s="20">
        <v>1.6</v>
      </c>
      <c r="X29" s="20">
        <v>1.6</v>
      </c>
      <c r="Y29" s="20">
        <v>1.6</v>
      </c>
      <c r="AA29" s="20">
        <v>1.5</v>
      </c>
      <c r="AB29" s="20">
        <v>0</v>
      </c>
    </row>
    <row r="30" spans="1:28" x14ac:dyDescent="0.2">
      <c r="A30" s="22">
        <v>19511</v>
      </c>
      <c r="B30" s="20">
        <v>6.4</v>
      </c>
      <c r="C30" s="20">
        <v>6.5</v>
      </c>
      <c r="D30" s="20">
        <v>6.2</v>
      </c>
      <c r="E30" s="20">
        <v>6.4</v>
      </c>
      <c r="F30" s="20">
        <v>6.5</v>
      </c>
      <c r="G30" s="20">
        <v>6.6</v>
      </c>
      <c r="I30" s="20">
        <v>6.8</v>
      </c>
      <c r="J30" s="187">
        <v>6.4</v>
      </c>
      <c r="K30" s="20">
        <v>4.9000000000000004</v>
      </c>
      <c r="L30" s="20">
        <v>4.8</v>
      </c>
      <c r="M30" s="20">
        <v>5.0999999999999996</v>
      </c>
      <c r="N30" s="20">
        <v>3.2</v>
      </c>
      <c r="O30" s="20">
        <v>4.8</v>
      </c>
      <c r="P30" s="20">
        <v>6.5</v>
      </c>
      <c r="R30" s="20">
        <v>4.5999999999999996</v>
      </c>
      <c r="S30" s="20">
        <v>4.9000000000000004</v>
      </c>
      <c r="T30" s="20">
        <v>1.6</v>
      </c>
      <c r="U30" s="20">
        <v>1.6</v>
      </c>
      <c r="V30" s="20">
        <v>1.6</v>
      </c>
      <c r="W30" s="20">
        <v>0</v>
      </c>
      <c r="X30" s="20">
        <v>0</v>
      </c>
      <c r="Y30" s="20">
        <v>1.5</v>
      </c>
      <c r="AA30" s="20">
        <v>0</v>
      </c>
      <c r="AB30" s="20">
        <v>1.6</v>
      </c>
    </row>
    <row r="31" spans="1:28" x14ac:dyDescent="0.2">
      <c r="A31" s="22">
        <v>19603</v>
      </c>
      <c r="B31" s="20">
        <v>6.4</v>
      </c>
      <c r="C31" s="20">
        <v>6.5</v>
      </c>
      <c r="D31" s="20">
        <v>6.2</v>
      </c>
      <c r="E31" s="20">
        <v>6.5</v>
      </c>
      <c r="F31" s="20">
        <v>6.6</v>
      </c>
      <c r="G31" s="20">
        <v>6.8</v>
      </c>
      <c r="I31" s="20">
        <v>6.9</v>
      </c>
      <c r="J31" s="187">
        <v>6.5</v>
      </c>
      <c r="K31" s="20">
        <v>3.2</v>
      </c>
      <c r="L31" s="20">
        <v>3.2</v>
      </c>
      <c r="M31" s="20">
        <v>1.6</v>
      </c>
      <c r="N31" s="20">
        <v>3.2</v>
      </c>
      <c r="O31" s="20">
        <v>3.1</v>
      </c>
      <c r="P31" s="20">
        <v>7.9</v>
      </c>
      <c r="R31" s="20">
        <v>3</v>
      </c>
      <c r="S31" s="20">
        <v>4.8</v>
      </c>
      <c r="T31" s="20">
        <v>0</v>
      </c>
      <c r="U31" s="20">
        <v>0</v>
      </c>
      <c r="V31" s="20">
        <v>0</v>
      </c>
      <c r="W31" s="20">
        <v>1.6</v>
      </c>
      <c r="X31" s="20">
        <v>1.5</v>
      </c>
      <c r="Y31" s="20">
        <v>3</v>
      </c>
      <c r="AA31" s="20">
        <v>1.5</v>
      </c>
      <c r="AB31" s="20">
        <v>1.6</v>
      </c>
    </row>
    <row r="32" spans="1:28" x14ac:dyDescent="0.2">
      <c r="A32" s="22">
        <v>19694</v>
      </c>
      <c r="B32" s="20">
        <v>6.4</v>
      </c>
      <c r="C32" s="20">
        <v>6.5</v>
      </c>
      <c r="D32" s="20">
        <v>6.2</v>
      </c>
      <c r="E32" s="20">
        <v>6.5</v>
      </c>
      <c r="F32" s="20">
        <v>6.6</v>
      </c>
      <c r="G32" s="20">
        <v>6.8</v>
      </c>
      <c r="I32" s="20">
        <v>7</v>
      </c>
      <c r="J32" s="187">
        <v>6.4</v>
      </c>
      <c r="K32" s="20">
        <v>1.6</v>
      </c>
      <c r="L32" s="20">
        <v>3.2</v>
      </c>
      <c r="M32" s="20">
        <v>1.6</v>
      </c>
      <c r="N32" s="20">
        <v>3.2</v>
      </c>
      <c r="O32" s="20">
        <v>3.1</v>
      </c>
      <c r="P32" s="20">
        <v>6.3</v>
      </c>
      <c r="R32" s="20">
        <v>4.5</v>
      </c>
      <c r="S32" s="20">
        <v>1.6</v>
      </c>
      <c r="T32" s="20">
        <v>0</v>
      </c>
      <c r="U32" s="20">
        <v>0</v>
      </c>
      <c r="V32" s="20">
        <v>0</v>
      </c>
      <c r="W32" s="20">
        <v>0</v>
      </c>
      <c r="X32" s="20">
        <v>0</v>
      </c>
      <c r="Y32" s="20">
        <v>0</v>
      </c>
      <c r="AA32" s="20">
        <v>1.4</v>
      </c>
      <c r="AB32" s="20">
        <v>-1.5</v>
      </c>
    </row>
    <row r="33" spans="1:28" x14ac:dyDescent="0.2">
      <c r="A33" s="22">
        <v>19784</v>
      </c>
      <c r="B33" s="20">
        <v>6.4</v>
      </c>
      <c r="C33" s="20">
        <v>6.5</v>
      </c>
      <c r="D33" s="20">
        <v>6.2</v>
      </c>
      <c r="E33" s="20">
        <v>6.5</v>
      </c>
      <c r="F33" s="20">
        <v>6.6</v>
      </c>
      <c r="G33" s="20">
        <v>6.8</v>
      </c>
      <c r="I33" s="20">
        <v>6.9</v>
      </c>
      <c r="J33" s="187">
        <v>6.5</v>
      </c>
      <c r="K33" s="20">
        <v>1.6</v>
      </c>
      <c r="L33" s="20">
        <v>1.6</v>
      </c>
      <c r="M33" s="20">
        <v>1.6</v>
      </c>
      <c r="N33" s="20">
        <v>1.6</v>
      </c>
      <c r="O33" s="20">
        <v>1.5</v>
      </c>
      <c r="P33" s="20">
        <v>4.5999999999999996</v>
      </c>
      <c r="R33" s="20">
        <v>1.5</v>
      </c>
      <c r="S33" s="20">
        <v>3.2</v>
      </c>
      <c r="T33" s="20">
        <v>0</v>
      </c>
      <c r="U33" s="20">
        <v>0</v>
      </c>
      <c r="V33" s="20">
        <v>0</v>
      </c>
      <c r="W33" s="20">
        <v>0</v>
      </c>
      <c r="X33" s="20">
        <v>0</v>
      </c>
      <c r="Y33" s="20">
        <v>0</v>
      </c>
      <c r="AA33" s="20">
        <v>-1.4</v>
      </c>
      <c r="AB33" s="20">
        <v>1.6</v>
      </c>
    </row>
    <row r="34" spans="1:28" x14ac:dyDescent="0.2">
      <c r="A34" s="22">
        <v>19876</v>
      </c>
      <c r="B34" s="20">
        <v>6.4</v>
      </c>
      <c r="C34" s="20">
        <v>6.5</v>
      </c>
      <c r="D34" s="20">
        <v>6.2</v>
      </c>
      <c r="E34" s="20">
        <v>6.5</v>
      </c>
      <c r="F34" s="20">
        <v>6.7</v>
      </c>
      <c r="G34" s="20">
        <v>6.8</v>
      </c>
      <c r="I34" s="20">
        <v>6.9</v>
      </c>
      <c r="J34" s="187">
        <v>6.5</v>
      </c>
      <c r="K34" s="20">
        <v>0</v>
      </c>
      <c r="L34" s="20">
        <v>0</v>
      </c>
      <c r="M34" s="20">
        <v>0</v>
      </c>
      <c r="N34" s="20">
        <v>1.6</v>
      </c>
      <c r="O34" s="20">
        <v>3.1</v>
      </c>
      <c r="P34" s="20">
        <v>3</v>
      </c>
      <c r="R34" s="20">
        <v>1.5</v>
      </c>
      <c r="S34" s="20">
        <v>1.6</v>
      </c>
      <c r="T34" s="20">
        <v>0</v>
      </c>
      <c r="U34" s="20">
        <v>0</v>
      </c>
      <c r="V34" s="20">
        <v>0</v>
      </c>
      <c r="W34" s="20">
        <v>0</v>
      </c>
      <c r="X34" s="20">
        <v>1.5</v>
      </c>
      <c r="Y34" s="20">
        <v>0</v>
      </c>
      <c r="AA34" s="20">
        <v>0</v>
      </c>
      <c r="AB34" s="20">
        <v>0</v>
      </c>
    </row>
    <row r="35" spans="1:28" x14ac:dyDescent="0.2">
      <c r="A35" s="22">
        <v>19968</v>
      </c>
      <c r="B35" s="20">
        <v>6.4</v>
      </c>
      <c r="C35" s="20">
        <v>6.4</v>
      </c>
      <c r="D35" s="20">
        <v>6.2</v>
      </c>
      <c r="E35" s="20">
        <v>6.5</v>
      </c>
      <c r="F35" s="20">
        <v>6.7</v>
      </c>
      <c r="G35" s="20">
        <v>6.7</v>
      </c>
      <c r="I35" s="20">
        <v>6.9</v>
      </c>
      <c r="J35" s="187">
        <v>6.5</v>
      </c>
      <c r="K35" s="20">
        <v>0</v>
      </c>
      <c r="L35" s="20">
        <v>-1.5</v>
      </c>
      <c r="M35" s="20">
        <v>0</v>
      </c>
      <c r="N35" s="20">
        <v>0</v>
      </c>
      <c r="O35" s="20">
        <v>1.5</v>
      </c>
      <c r="P35" s="20">
        <v>-1.5</v>
      </c>
      <c r="R35" s="20">
        <v>0</v>
      </c>
      <c r="S35" s="20">
        <v>0</v>
      </c>
      <c r="T35" s="20">
        <v>0</v>
      </c>
      <c r="U35" s="20">
        <v>-1.5</v>
      </c>
      <c r="V35" s="20">
        <v>0</v>
      </c>
      <c r="W35" s="20">
        <v>0</v>
      </c>
      <c r="X35" s="20">
        <v>0</v>
      </c>
      <c r="Y35" s="20">
        <v>-1.5</v>
      </c>
      <c r="AA35" s="20">
        <v>0</v>
      </c>
      <c r="AB35" s="20">
        <v>0</v>
      </c>
    </row>
    <row r="36" spans="1:28" x14ac:dyDescent="0.2">
      <c r="A36" s="22">
        <v>20059</v>
      </c>
      <c r="B36" s="20">
        <v>6.4</v>
      </c>
      <c r="C36" s="20">
        <v>6.4</v>
      </c>
      <c r="D36" s="20">
        <v>6.2</v>
      </c>
      <c r="E36" s="20">
        <v>6.5</v>
      </c>
      <c r="F36" s="20">
        <v>6.7</v>
      </c>
      <c r="G36" s="20">
        <v>6.7</v>
      </c>
      <c r="I36" s="20">
        <v>7</v>
      </c>
      <c r="J36" s="187">
        <v>6.5</v>
      </c>
      <c r="K36" s="20">
        <v>0</v>
      </c>
      <c r="L36" s="20">
        <v>-1.5</v>
      </c>
      <c r="M36" s="20">
        <v>0</v>
      </c>
      <c r="N36" s="20">
        <v>0</v>
      </c>
      <c r="O36" s="20">
        <v>1.5</v>
      </c>
      <c r="P36" s="20">
        <v>-1.5</v>
      </c>
      <c r="R36" s="20">
        <v>0</v>
      </c>
      <c r="S36" s="20">
        <v>1.6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AA36" s="20">
        <v>1.4</v>
      </c>
      <c r="AB36" s="20">
        <v>0</v>
      </c>
    </row>
    <row r="37" spans="1:28" x14ac:dyDescent="0.2">
      <c r="A37" s="22">
        <v>20149</v>
      </c>
      <c r="B37" s="20">
        <v>6.5</v>
      </c>
      <c r="C37" s="20">
        <v>6.5</v>
      </c>
      <c r="D37" s="20">
        <v>6.3</v>
      </c>
      <c r="E37" s="20">
        <v>6.6</v>
      </c>
      <c r="F37" s="20">
        <v>6.7</v>
      </c>
      <c r="G37" s="20">
        <v>6.8</v>
      </c>
      <c r="I37" s="20">
        <v>7</v>
      </c>
      <c r="J37" s="187">
        <v>6.5</v>
      </c>
      <c r="K37" s="20">
        <v>1.6</v>
      </c>
      <c r="L37" s="20">
        <v>0</v>
      </c>
      <c r="M37" s="20">
        <v>1.6</v>
      </c>
      <c r="N37" s="20">
        <v>1.5</v>
      </c>
      <c r="O37" s="20">
        <v>1.5</v>
      </c>
      <c r="P37" s="20">
        <v>0</v>
      </c>
      <c r="R37" s="20">
        <v>1.4</v>
      </c>
      <c r="S37" s="20">
        <v>0</v>
      </c>
      <c r="T37" s="20">
        <v>1.6</v>
      </c>
      <c r="U37" s="20">
        <v>1.6</v>
      </c>
      <c r="V37" s="20">
        <v>1.6</v>
      </c>
      <c r="W37" s="20">
        <v>1.5</v>
      </c>
      <c r="X37" s="20">
        <v>0</v>
      </c>
      <c r="Y37" s="20">
        <v>1.5</v>
      </c>
      <c r="AA37" s="20">
        <v>0</v>
      </c>
      <c r="AB37" s="20">
        <v>0</v>
      </c>
    </row>
    <row r="38" spans="1:28" x14ac:dyDescent="0.2">
      <c r="A38" s="22">
        <v>20241</v>
      </c>
      <c r="B38" s="20">
        <v>6.5</v>
      </c>
      <c r="C38" s="20">
        <v>6.6</v>
      </c>
      <c r="D38" s="20">
        <v>6.3</v>
      </c>
      <c r="E38" s="20">
        <v>6.6</v>
      </c>
      <c r="F38" s="20">
        <v>6.8</v>
      </c>
      <c r="G38" s="20">
        <v>6.8</v>
      </c>
      <c r="I38" s="20">
        <v>7.1</v>
      </c>
      <c r="J38" s="187">
        <v>6.6</v>
      </c>
      <c r="K38" s="20">
        <v>1.6</v>
      </c>
      <c r="L38" s="20">
        <v>1.5</v>
      </c>
      <c r="M38" s="20">
        <v>1.6</v>
      </c>
      <c r="N38" s="20">
        <v>1.5</v>
      </c>
      <c r="O38" s="20">
        <v>1.5</v>
      </c>
      <c r="P38" s="20">
        <v>0</v>
      </c>
      <c r="R38" s="20">
        <v>2.9</v>
      </c>
      <c r="S38" s="20">
        <v>1.5</v>
      </c>
      <c r="T38" s="20">
        <v>0</v>
      </c>
      <c r="U38" s="20">
        <v>1.5</v>
      </c>
      <c r="V38" s="20">
        <v>0</v>
      </c>
      <c r="W38" s="20">
        <v>0</v>
      </c>
      <c r="X38" s="20">
        <v>1.5</v>
      </c>
      <c r="Y38" s="20">
        <v>0</v>
      </c>
      <c r="AA38" s="20">
        <v>1.4</v>
      </c>
      <c r="AB38" s="20">
        <v>1.5</v>
      </c>
    </row>
    <row r="39" spans="1:28" x14ac:dyDescent="0.2">
      <c r="A39" s="22">
        <v>20333</v>
      </c>
      <c r="B39" s="20">
        <v>6.5</v>
      </c>
      <c r="C39" s="20">
        <v>6.7</v>
      </c>
      <c r="D39" s="20">
        <v>6.3</v>
      </c>
      <c r="E39" s="20">
        <v>6.6</v>
      </c>
      <c r="F39" s="20">
        <v>6.8</v>
      </c>
      <c r="G39" s="20">
        <v>7</v>
      </c>
      <c r="I39" s="20">
        <v>7.2</v>
      </c>
      <c r="J39" s="187">
        <v>6.6</v>
      </c>
      <c r="K39" s="20">
        <v>1.6</v>
      </c>
      <c r="L39" s="20">
        <v>4.7</v>
      </c>
      <c r="M39" s="20">
        <v>1.6</v>
      </c>
      <c r="N39" s="20">
        <v>1.5</v>
      </c>
      <c r="O39" s="20">
        <v>1.5</v>
      </c>
      <c r="P39" s="20">
        <v>4.5</v>
      </c>
      <c r="R39" s="20">
        <v>4.3</v>
      </c>
      <c r="S39" s="20">
        <v>1.5</v>
      </c>
      <c r="T39" s="20">
        <v>0</v>
      </c>
      <c r="U39" s="20">
        <v>1.5</v>
      </c>
      <c r="V39" s="20">
        <v>0</v>
      </c>
      <c r="W39" s="20">
        <v>0</v>
      </c>
      <c r="X39" s="20">
        <v>0</v>
      </c>
      <c r="Y39" s="20">
        <v>2.9</v>
      </c>
      <c r="AA39" s="20">
        <v>1.4</v>
      </c>
      <c r="AB39" s="20">
        <v>0</v>
      </c>
    </row>
    <row r="40" spans="1:28" x14ac:dyDescent="0.2">
      <c r="A40" s="22">
        <v>20424</v>
      </c>
      <c r="B40" s="20">
        <v>6.6</v>
      </c>
      <c r="C40" s="20">
        <v>6.8</v>
      </c>
      <c r="D40" s="20">
        <v>6.4</v>
      </c>
      <c r="E40" s="20">
        <v>6.7</v>
      </c>
      <c r="F40" s="20">
        <v>6.9</v>
      </c>
      <c r="G40" s="20">
        <v>7.1</v>
      </c>
      <c r="I40" s="20">
        <v>7.2</v>
      </c>
      <c r="J40" s="187">
        <v>6.7</v>
      </c>
      <c r="K40" s="20">
        <v>3.1</v>
      </c>
      <c r="L40" s="20">
        <v>6.3</v>
      </c>
      <c r="M40" s="20">
        <v>3.2</v>
      </c>
      <c r="N40" s="20">
        <v>3.1</v>
      </c>
      <c r="O40" s="20">
        <v>3</v>
      </c>
      <c r="P40" s="20">
        <v>6</v>
      </c>
      <c r="R40" s="20">
        <v>2.9</v>
      </c>
      <c r="S40" s="20">
        <v>3.1</v>
      </c>
      <c r="T40" s="20">
        <v>1.5</v>
      </c>
      <c r="U40" s="20">
        <v>1.5</v>
      </c>
      <c r="V40" s="20">
        <v>1.6</v>
      </c>
      <c r="W40" s="20">
        <v>1.5</v>
      </c>
      <c r="X40" s="20">
        <v>1.5</v>
      </c>
      <c r="Y40" s="20">
        <v>1.4</v>
      </c>
      <c r="AA40" s="20">
        <v>0</v>
      </c>
      <c r="AB40" s="20">
        <v>1.5</v>
      </c>
    </row>
    <row r="41" spans="1:28" x14ac:dyDescent="0.2">
      <c r="A41" s="22">
        <v>20515</v>
      </c>
      <c r="B41" s="20">
        <v>6.6</v>
      </c>
      <c r="C41" s="20">
        <v>6.9</v>
      </c>
      <c r="D41" s="20">
        <v>6.5</v>
      </c>
      <c r="E41" s="20">
        <v>6.8</v>
      </c>
      <c r="F41" s="20">
        <v>6.9</v>
      </c>
      <c r="G41" s="20">
        <v>7.2</v>
      </c>
      <c r="I41" s="20">
        <v>7.3</v>
      </c>
      <c r="J41" s="187">
        <v>6.7</v>
      </c>
      <c r="K41" s="20">
        <v>1.5</v>
      </c>
      <c r="L41" s="20">
        <v>6.2</v>
      </c>
      <c r="M41" s="20">
        <v>3.2</v>
      </c>
      <c r="N41" s="20">
        <v>3</v>
      </c>
      <c r="O41" s="20">
        <v>3</v>
      </c>
      <c r="P41" s="20">
        <v>5.9</v>
      </c>
      <c r="R41" s="20">
        <v>4.3</v>
      </c>
      <c r="S41" s="20">
        <v>3.1</v>
      </c>
      <c r="T41" s="20">
        <v>0</v>
      </c>
      <c r="U41" s="20">
        <v>1.5</v>
      </c>
      <c r="V41" s="20">
        <v>1.6</v>
      </c>
      <c r="W41" s="20">
        <v>1.5</v>
      </c>
      <c r="X41" s="20">
        <v>0</v>
      </c>
      <c r="Y41" s="20">
        <v>1.4</v>
      </c>
      <c r="AA41" s="20">
        <v>1.4</v>
      </c>
      <c r="AB41" s="20">
        <v>0</v>
      </c>
    </row>
    <row r="42" spans="1:28" x14ac:dyDescent="0.2">
      <c r="A42" s="22">
        <v>20607</v>
      </c>
      <c r="B42" s="20">
        <v>6.9</v>
      </c>
      <c r="C42" s="20">
        <v>7.2</v>
      </c>
      <c r="D42" s="20">
        <v>6.7</v>
      </c>
      <c r="E42" s="20">
        <v>7</v>
      </c>
      <c r="F42" s="20">
        <v>7.1</v>
      </c>
      <c r="G42" s="20">
        <v>7.4</v>
      </c>
      <c r="I42" s="20">
        <v>7.4</v>
      </c>
      <c r="J42" s="187">
        <v>7</v>
      </c>
      <c r="K42" s="20">
        <v>6.2</v>
      </c>
      <c r="L42" s="20">
        <v>9.1</v>
      </c>
      <c r="M42" s="20">
        <v>6.3</v>
      </c>
      <c r="N42" s="20">
        <v>6.1</v>
      </c>
      <c r="O42" s="20">
        <v>4.4000000000000004</v>
      </c>
      <c r="P42" s="20">
        <v>8.8000000000000007</v>
      </c>
      <c r="R42" s="20">
        <v>4.2</v>
      </c>
      <c r="S42" s="20">
        <v>6.1</v>
      </c>
      <c r="T42" s="20">
        <v>4.5</v>
      </c>
      <c r="U42" s="20">
        <v>4.3</v>
      </c>
      <c r="V42" s="20">
        <v>3.1</v>
      </c>
      <c r="W42" s="20">
        <v>2.9</v>
      </c>
      <c r="X42" s="20">
        <v>2.9</v>
      </c>
      <c r="Y42" s="20">
        <v>2.8</v>
      </c>
      <c r="AA42" s="20">
        <v>1.4</v>
      </c>
      <c r="AB42" s="20">
        <v>4.5</v>
      </c>
    </row>
    <row r="43" spans="1:28" x14ac:dyDescent="0.2">
      <c r="A43" s="22">
        <v>20699</v>
      </c>
      <c r="B43" s="20">
        <v>7.1</v>
      </c>
      <c r="C43" s="20">
        <v>7.3</v>
      </c>
      <c r="D43" s="20">
        <v>6.8</v>
      </c>
      <c r="E43" s="20">
        <v>7.1</v>
      </c>
      <c r="F43" s="20">
        <v>7.1</v>
      </c>
      <c r="G43" s="20">
        <v>7.5</v>
      </c>
      <c r="I43" s="20">
        <v>7.6</v>
      </c>
      <c r="J43" s="187">
        <v>7.1</v>
      </c>
      <c r="K43" s="20">
        <v>9.1999999999999993</v>
      </c>
      <c r="L43" s="20">
        <v>9</v>
      </c>
      <c r="M43" s="20">
        <v>7.9</v>
      </c>
      <c r="N43" s="20">
        <v>7.6</v>
      </c>
      <c r="O43" s="20">
        <v>4.4000000000000004</v>
      </c>
      <c r="P43" s="20">
        <v>7.1</v>
      </c>
      <c r="R43" s="20">
        <v>5.6</v>
      </c>
      <c r="S43" s="20">
        <v>7.6</v>
      </c>
      <c r="T43" s="20">
        <v>2.9</v>
      </c>
      <c r="U43" s="20">
        <v>1.4</v>
      </c>
      <c r="V43" s="20">
        <v>1.5</v>
      </c>
      <c r="W43" s="20">
        <v>1.4</v>
      </c>
      <c r="X43" s="20">
        <v>0</v>
      </c>
      <c r="Y43" s="20">
        <v>1.4</v>
      </c>
      <c r="AA43" s="20">
        <v>2.7</v>
      </c>
      <c r="AB43" s="20">
        <v>1.4</v>
      </c>
    </row>
    <row r="44" spans="1:28" x14ac:dyDescent="0.2">
      <c r="A44" s="22">
        <v>20790</v>
      </c>
      <c r="B44" s="20">
        <v>7.1</v>
      </c>
      <c r="C44" s="20">
        <v>7.3</v>
      </c>
      <c r="D44" s="20">
        <v>6.8</v>
      </c>
      <c r="E44" s="20">
        <v>7.1</v>
      </c>
      <c r="F44" s="20">
        <v>7.2</v>
      </c>
      <c r="G44" s="20">
        <v>7.6</v>
      </c>
      <c r="I44" s="20">
        <v>7.7</v>
      </c>
      <c r="J44" s="187">
        <v>7.1</v>
      </c>
      <c r="K44" s="20">
        <v>7.6</v>
      </c>
      <c r="L44" s="20">
        <v>7.4</v>
      </c>
      <c r="M44" s="20">
        <v>6.3</v>
      </c>
      <c r="N44" s="20">
        <v>6</v>
      </c>
      <c r="O44" s="20">
        <v>4.3</v>
      </c>
      <c r="P44" s="20">
        <v>7</v>
      </c>
      <c r="R44" s="20">
        <v>6.9</v>
      </c>
      <c r="S44" s="20">
        <v>6</v>
      </c>
      <c r="T44" s="20">
        <v>0</v>
      </c>
      <c r="U44" s="20">
        <v>0</v>
      </c>
      <c r="V44" s="20">
        <v>0</v>
      </c>
      <c r="W44" s="20">
        <v>0</v>
      </c>
      <c r="X44" s="20">
        <v>1.4</v>
      </c>
      <c r="Y44" s="20">
        <v>1.3</v>
      </c>
      <c r="AA44" s="20">
        <v>1.3</v>
      </c>
      <c r="AB44" s="20">
        <v>0</v>
      </c>
    </row>
    <row r="45" spans="1:28" x14ac:dyDescent="0.2">
      <c r="A45" s="22">
        <v>20880</v>
      </c>
      <c r="B45" s="20">
        <v>7.1</v>
      </c>
      <c r="C45" s="20">
        <v>7.2</v>
      </c>
      <c r="D45" s="20">
        <v>6.8</v>
      </c>
      <c r="E45" s="20">
        <v>7</v>
      </c>
      <c r="F45" s="20">
        <v>7.2</v>
      </c>
      <c r="G45" s="20">
        <v>7.6</v>
      </c>
      <c r="I45" s="20">
        <v>7.7</v>
      </c>
      <c r="J45" s="187">
        <v>7.1</v>
      </c>
      <c r="K45" s="20">
        <v>7.6</v>
      </c>
      <c r="L45" s="20">
        <v>4.3</v>
      </c>
      <c r="M45" s="20">
        <v>4.5999999999999996</v>
      </c>
      <c r="N45" s="20">
        <v>2.9</v>
      </c>
      <c r="O45" s="20">
        <v>4.3</v>
      </c>
      <c r="P45" s="20">
        <v>5.6</v>
      </c>
      <c r="R45" s="20">
        <v>5.5</v>
      </c>
      <c r="S45" s="20">
        <v>6</v>
      </c>
      <c r="T45" s="20">
        <v>0</v>
      </c>
      <c r="U45" s="20">
        <v>-1.4</v>
      </c>
      <c r="V45" s="20">
        <v>0</v>
      </c>
      <c r="W45" s="20">
        <v>-1.4</v>
      </c>
      <c r="X45" s="20">
        <v>0</v>
      </c>
      <c r="Y45" s="20">
        <v>0</v>
      </c>
      <c r="AA45" s="20">
        <v>0</v>
      </c>
      <c r="AB45" s="20">
        <v>0</v>
      </c>
    </row>
    <row r="46" spans="1:28" x14ac:dyDescent="0.2">
      <c r="A46" s="22">
        <v>20972</v>
      </c>
      <c r="B46" s="20">
        <v>7.1</v>
      </c>
      <c r="C46" s="20">
        <v>7.3</v>
      </c>
      <c r="D46" s="20">
        <v>6.9</v>
      </c>
      <c r="E46" s="20">
        <v>7.1</v>
      </c>
      <c r="F46" s="20">
        <v>7.3</v>
      </c>
      <c r="G46" s="20">
        <v>7.6</v>
      </c>
      <c r="I46" s="20">
        <v>7.7</v>
      </c>
      <c r="J46" s="187">
        <v>7.2</v>
      </c>
      <c r="K46" s="20">
        <v>2.9</v>
      </c>
      <c r="L46" s="20">
        <v>1.4</v>
      </c>
      <c r="M46" s="20">
        <v>3</v>
      </c>
      <c r="N46" s="20">
        <v>1.4</v>
      </c>
      <c r="O46" s="20">
        <v>2.8</v>
      </c>
      <c r="P46" s="20">
        <v>2.7</v>
      </c>
      <c r="R46" s="20">
        <v>4.0999999999999996</v>
      </c>
      <c r="S46" s="20">
        <v>2.9</v>
      </c>
      <c r="T46" s="20">
        <v>0</v>
      </c>
      <c r="U46" s="20">
        <v>1.4</v>
      </c>
      <c r="V46" s="20">
        <v>1.5</v>
      </c>
      <c r="W46" s="20">
        <v>1.4</v>
      </c>
      <c r="X46" s="20">
        <v>1.4</v>
      </c>
      <c r="Y46" s="20">
        <v>0</v>
      </c>
      <c r="AA46" s="20">
        <v>0</v>
      </c>
      <c r="AB46" s="20">
        <v>1.4</v>
      </c>
    </row>
    <row r="47" spans="1:28" x14ac:dyDescent="0.2">
      <c r="A47" s="22">
        <v>21064</v>
      </c>
      <c r="B47" s="20">
        <v>7.2</v>
      </c>
      <c r="C47" s="20">
        <v>7.3</v>
      </c>
      <c r="D47" s="20">
        <v>6.9</v>
      </c>
      <c r="E47" s="20">
        <v>7.1</v>
      </c>
      <c r="F47" s="20">
        <v>7.3</v>
      </c>
      <c r="G47" s="20">
        <v>7.6</v>
      </c>
      <c r="I47" s="20">
        <v>7.7</v>
      </c>
      <c r="J47" s="187">
        <v>7.2</v>
      </c>
      <c r="K47" s="20">
        <v>1.4</v>
      </c>
      <c r="L47" s="20">
        <v>0</v>
      </c>
      <c r="M47" s="20">
        <v>1.5</v>
      </c>
      <c r="N47" s="20">
        <v>0</v>
      </c>
      <c r="O47" s="20">
        <v>2.8</v>
      </c>
      <c r="P47" s="20">
        <v>1.3</v>
      </c>
      <c r="R47" s="20">
        <v>1.3</v>
      </c>
      <c r="S47" s="20">
        <v>1.4</v>
      </c>
      <c r="T47" s="20">
        <v>1.4</v>
      </c>
      <c r="U47" s="20">
        <v>0</v>
      </c>
      <c r="V47" s="20">
        <v>0</v>
      </c>
      <c r="W47" s="20">
        <v>0</v>
      </c>
      <c r="X47" s="20">
        <v>0</v>
      </c>
      <c r="Y47" s="20">
        <v>0</v>
      </c>
      <c r="AA47" s="20">
        <v>0</v>
      </c>
      <c r="AB47" s="20">
        <v>0</v>
      </c>
    </row>
    <row r="48" spans="1:28" x14ac:dyDescent="0.2">
      <c r="A48" s="22">
        <v>21155</v>
      </c>
      <c r="B48" s="20">
        <v>7.2</v>
      </c>
      <c r="C48" s="20">
        <v>7.3</v>
      </c>
      <c r="D48" s="20">
        <v>6.9</v>
      </c>
      <c r="E48" s="20">
        <v>7.1</v>
      </c>
      <c r="F48" s="20">
        <v>7.2</v>
      </c>
      <c r="G48" s="20">
        <v>7.6</v>
      </c>
      <c r="I48" s="20">
        <v>7.7</v>
      </c>
      <c r="J48" s="187">
        <v>7.2</v>
      </c>
      <c r="K48" s="20">
        <v>1.4</v>
      </c>
      <c r="L48" s="20">
        <v>0</v>
      </c>
      <c r="M48" s="20">
        <v>1.5</v>
      </c>
      <c r="N48" s="20">
        <v>0</v>
      </c>
      <c r="O48" s="20">
        <v>0</v>
      </c>
      <c r="P48" s="20">
        <v>0</v>
      </c>
      <c r="R48" s="20">
        <v>0</v>
      </c>
      <c r="S48" s="20">
        <v>1.4</v>
      </c>
      <c r="T48" s="20">
        <v>0</v>
      </c>
      <c r="U48" s="20">
        <v>0</v>
      </c>
      <c r="V48" s="20">
        <v>0</v>
      </c>
      <c r="W48" s="20">
        <v>0</v>
      </c>
      <c r="X48" s="20">
        <v>-1.4</v>
      </c>
      <c r="Y48" s="20">
        <v>0</v>
      </c>
      <c r="AA48" s="20">
        <v>0</v>
      </c>
      <c r="AB48" s="20">
        <v>0</v>
      </c>
    </row>
    <row r="49" spans="1:28" x14ac:dyDescent="0.2">
      <c r="A49" s="22">
        <v>21245</v>
      </c>
      <c r="B49" s="20">
        <v>7.3</v>
      </c>
      <c r="C49" s="20">
        <v>7.3</v>
      </c>
      <c r="D49" s="20">
        <v>7</v>
      </c>
      <c r="E49" s="20">
        <v>7.1</v>
      </c>
      <c r="F49" s="20">
        <v>7.2</v>
      </c>
      <c r="G49" s="20">
        <v>7.6</v>
      </c>
      <c r="I49" s="20">
        <v>7.7</v>
      </c>
      <c r="J49" s="187">
        <v>7.2</v>
      </c>
      <c r="K49" s="20">
        <v>2.8</v>
      </c>
      <c r="L49" s="20">
        <v>1.4</v>
      </c>
      <c r="M49" s="20">
        <v>2.9</v>
      </c>
      <c r="N49" s="20">
        <v>1.4</v>
      </c>
      <c r="O49" s="20">
        <v>0</v>
      </c>
      <c r="P49" s="20">
        <v>0</v>
      </c>
      <c r="R49" s="20">
        <v>0</v>
      </c>
      <c r="S49" s="20">
        <v>1.4</v>
      </c>
      <c r="T49" s="20">
        <v>1.4</v>
      </c>
      <c r="U49" s="20">
        <v>0</v>
      </c>
      <c r="V49" s="20">
        <v>1.4</v>
      </c>
      <c r="W49" s="20">
        <v>0</v>
      </c>
      <c r="X49" s="20">
        <v>0</v>
      </c>
      <c r="Y49" s="20">
        <v>0</v>
      </c>
      <c r="AA49" s="20">
        <v>0</v>
      </c>
      <c r="AB49" s="20">
        <v>0</v>
      </c>
    </row>
    <row r="50" spans="1:28" x14ac:dyDescent="0.2">
      <c r="A50" s="22">
        <v>21337</v>
      </c>
      <c r="B50" s="20">
        <v>7.3</v>
      </c>
      <c r="C50" s="20">
        <v>7.3</v>
      </c>
      <c r="D50" s="20">
        <v>7</v>
      </c>
      <c r="E50" s="20">
        <v>7.1</v>
      </c>
      <c r="F50" s="20">
        <v>7.3</v>
      </c>
      <c r="G50" s="20">
        <v>7.6</v>
      </c>
      <c r="I50" s="20">
        <v>7.8</v>
      </c>
      <c r="J50" s="187">
        <v>7.2</v>
      </c>
      <c r="K50" s="20">
        <v>2.8</v>
      </c>
      <c r="L50" s="20">
        <v>0</v>
      </c>
      <c r="M50" s="20">
        <v>1.4</v>
      </c>
      <c r="N50" s="20">
        <v>0</v>
      </c>
      <c r="O50" s="20">
        <v>0</v>
      </c>
      <c r="P50" s="20">
        <v>0</v>
      </c>
      <c r="R50" s="20">
        <v>1.3</v>
      </c>
      <c r="S50" s="20">
        <v>0</v>
      </c>
      <c r="T50" s="20">
        <v>0</v>
      </c>
      <c r="U50" s="20">
        <v>0</v>
      </c>
      <c r="V50" s="20">
        <v>0</v>
      </c>
      <c r="W50" s="20">
        <v>0</v>
      </c>
      <c r="X50" s="20">
        <v>1.4</v>
      </c>
      <c r="Y50" s="20">
        <v>0</v>
      </c>
      <c r="AA50" s="20">
        <v>1.3</v>
      </c>
      <c r="AB50" s="20">
        <v>0</v>
      </c>
    </row>
    <row r="51" spans="1:28" x14ac:dyDescent="0.2">
      <c r="A51" s="22">
        <v>21429</v>
      </c>
      <c r="B51" s="20">
        <v>7.2</v>
      </c>
      <c r="C51" s="20">
        <v>7.3</v>
      </c>
      <c r="D51" s="20">
        <v>7.1</v>
      </c>
      <c r="E51" s="20">
        <v>7.2</v>
      </c>
      <c r="F51" s="20">
        <v>7.3</v>
      </c>
      <c r="G51" s="20">
        <v>7.6</v>
      </c>
      <c r="I51" s="20">
        <v>7.7</v>
      </c>
      <c r="J51" s="187">
        <v>7.2</v>
      </c>
      <c r="K51" s="20">
        <v>0</v>
      </c>
      <c r="L51" s="20">
        <v>0</v>
      </c>
      <c r="M51" s="20">
        <v>2.9</v>
      </c>
      <c r="N51" s="20">
        <v>1.4</v>
      </c>
      <c r="O51" s="20">
        <v>0</v>
      </c>
      <c r="P51" s="20">
        <v>0</v>
      </c>
      <c r="R51" s="20">
        <v>0</v>
      </c>
      <c r="S51" s="20">
        <v>0</v>
      </c>
      <c r="T51" s="20">
        <v>-1.4</v>
      </c>
      <c r="U51" s="20">
        <v>0</v>
      </c>
      <c r="V51" s="20">
        <v>1.4</v>
      </c>
      <c r="W51" s="20">
        <v>1.4</v>
      </c>
      <c r="X51" s="20">
        <v>0</v>
      </c>
      <c r="Y51" s="20">
        <v>0</v>
      </c>
      <c r="AA51" s="20">
        <v>-1.3</v>
      </c>
      <c r="AB51" s="20">
        <v>0</v>
      </c>
    </row>
    <row r="52" spans="1:28" x14ac:dyDescent="0.2">
      <c r="A52" s="22">
        <v>21520</v>
      </c>
      <c r="B52" s="20">
        <v>7.3</v>
      </c>
      <c r="C52" s="20">
        <v>7.5</v>
      </c>
      <c r="D52" s="20">
        <v>7.2</v>
      </c>
      <c r="E52" s="20">
        <v>7.2</v>
      </c>
      <c r="F52" s="20">
        <v>7.3</v>
      </c>
      <c r="G52" s="20">
        <v>7.7</v>
      </c>
      <c r="I52" s="20">
        <v>7.8</v>
      </c>
      <c r="J52" s="187">
        <v>7.3</v>
      </c>
      <c r="K52" s="20">
        <v>1.4</v>
      </c>
      <c r="L52" s="20">
        <v>2.7</v>
      </c>
      <c r="M52" s="20">
        <v>4.3</v>
      </c>
      <c r="N52" s="20">
        <v>1.4</v>
      </c>
      <c r="O52" s="20">
        <v>1.4</v>
      </c>
      <c r="P52" s="20">
        <v>1.3</v>
      </c>
      <c r="R52" s="20">
        <v>1.3</v>
      </c>
      <c r="S52" s="20">
        <v>1.4</v>
      </c>
      <c r="T52" s="20">
        <v>1.4</v>
      </c>
      <c r="U52" s="20">
        <v>2.7</v>
      </c>
      <c r="V52" s="20">
        <v>1.4</v>
      </c>
      <c r="W52" s="20">
        <v>0</v>
      </c>
      <c r="X52" s="20">
        <v>0</v>
      </c>
      <c r="Y52" s="20">
        <v>1.3</v>
      </c>
      <c r="AA52" s="20">
        <v>1.3</v>
      </c>
      <c r="AB52" s="20">
        <v>1.4</v>
      </c>
    </row>
    <row r="53" spans="1:28" x14ac:dyDescent="0.2">
      <c r="A53" s="22">
        <v>21610</v>
      </c>
      <c r="B53" s="20">
        <v>7.3</v>
      </c>
      <c r="C53" s="20">
        <v>7.5</v>
      </c>
      <c r="D53" s="20">
        <v>7.2</v>
      </c>
      <c r="E53" s="20">
        <v>7.3</v>
      </c>
      <c r="F53" s="20">
        <v>7.4</v>
      </c>
      <c r="G53" s="20">
        <v>7.7</v>
      </c>
      <c r="I53" s="20">
        <v>7.8</v>
      </c>
      <c r="J53" s="187">
        <v>7.3</v>
      </c>
      <c r="K53" s="20">
        <v>0</v>
      </c>
      <c r="L53" s="20">
        <v>2.7</v>
      </c>
      <c r="M53" s="20">
        <v>2.9</v>
      </c>
      <c r="N53" s="20">
        <v>2.8</v>
      </c>
      <c r="O53" s="20">
        <v>2.8</v>
      </c>
      <c r="P53" s="20">
        <v>1.3</v>
      </c>
      <c r="R53" s="20">
        <v>1.3</v>
      </c>
      <c r="S53" s="20">
        <v>1.4</v>
      </c>
      <c r="T53" s="20">
        <v>0</v>
      </c>
      <c r="U53" s="20">
        <v>0</v>
      </c>
      <c r="V53" s="20">
        <v>0</v>
      </c>
      <c r="W53" s="20">
        <v>1.4</v>
      </c>
      <c r="X53" s="20">
        <v>1.4</v>
      </c>
      <c r="Y53" s="20">
        <v>0</v>
      </c>
      <c r="AA53" s="20">
        <v>0</v>
      </c>
      <c r="AB53" s="20">
        <v>0</v>
      </c>
    </row>
    <row r="54" spans="1:28" x14ac:dyDescent="0.2">
      <c r="A54" s="22">
        <v>21702</v>
      </c>
      <c r="B54" s="20">
        <v>7.3</v>
      </c>
      <c r="C54" s="20">
        <v>7.5</v>
      </c>
      <c r="D54" s="20">
        <v>7.2</v>
      </c>
      <c r="E54" s="20">
        <v>7.3</v>
      </c>
      <c r="F54" s="20">
        <v>7.4</v>
      </c>
      <c r="G54" s="20">
        <v>7.7</v>
      </c>
      <c r="I54" s="20">
        <v>7.9</v>
      </c>
      <c r="J54" s="187">
        <v>7.3</v>
      </c>
      <c r="K54" s="20">
        <v>0</v>
      </c>
      <c r="L54" s="20">
        <v>2.7</v>
      </c>
      <c r="M54" s="20">
        <v>2.9</v>
      </c>
      <c r="N54" s="20">
        <v>2.8</v>
      </c>
      <c r="O54" s="20">
        <v>1.4</v>
      </c>
      <c r="P54" s="20">
        <v>1.3</v>
      </c>
      <c r="R54" s="20">
        <v>1.3</v>
      </c>
      <c r="S54" s="20">
        <v>1.4</v>
      </c>
      <c r="T54" s="20">
        <v>0</v>
      </c>
      <c r="U54" s="20">
        <v>0</v>
      </c>
      <c r="V54" s="20">
        <v>0</v>
      </c>
      <c r="W54" s="20">
        <v>0</v>
      </c>
      <c r="X54" s="20">
        <v>0</v>
      </c>
      <c r="Y54" s="20">
        <v>0</v>
      </c>
      <c r="AA54" s="20">
        <v>1.3</v>
      </c>
      <c r="AB54" s="20">
        <v>0</v>
      </c>
    </row>
    <row r="55" spans="1:28" x14ac:dyDescent="0.2">
      <c r="A55" s="22">
        <v>21794</v>
      </c>
      <c r="B55" s="20">
        <v>7.3</v>
      </c>
      <c r="C55" s="20">
        <v>7.6</v>
      </c>
      <c r="D55" s="20">
        <v>7.3</v>
      </c>
      <c r="E55" s="20">
        <v>7.4</v>
      </c>
      <c r="F55" s="20">
        <v>7.4</v>
      </c>
      <c r="G55" s="20">
        <v>7.7</v>
      </c>
      <c r="I55" s="20">
        <v>7.9</v>
      </c>
      <c r="J55" s="187">
        <v>7.4</v>
      </c>
      <c r="K55" s="20">
        <v>1.4</v>
      </c>
      <c r="L55" s="20">
        <v>4.0999999999999996</v>
      </c>
      <c r="M55" s="20">
        <v>2.8</v>
      </c>
      <c r="N55" s="20">
        <v>2.8</v>
      </c>
      <c r="O55" s="20">
        <v>1.4</v>
      </c>
      <c r="P55" s="20">
        <v>1.3</v>
      </c>
      <c r="R55" s="20">
        <v>2.6</v>
      </c>
      <c r="S55" s="20">
        <v>2.8</v>
      </c>
      <c r="T55" s="20">
        <v>0</v>
      </c>
      <c r="U55" s="20">
        <v>1.3</v>
      </c>
      <c r="V55" s="20">
        <v>1.4</v>
      </c>
      <c r="W55" s="20">
        <v>1.4</v>
      </c>
      <c r="X55" s="20">
        <v>0</v>
      </c>
      <c r="Y55" s="20">
        <v>0</v>
      </c>
      <c r="AA55" s="20">
        <v>0</v>
      </c>
      <c r="AB55" s="20">
        <v>1.4</v>
      </c>
    </row>
    <row r="56" spans="1:28" x14ac:dyDescent="0.2">
      <c r="A56" s="22">
        <v>21885</v>
      </c>
      <c r="B56" s="20">
        <v>7.4</v>
      </c>
      <c r="C56" s="20">
        <v>7.6</v>
      </c>
      <c r="D56" s="20">
        <v>7.4</v>
      </c>
      <c r="E56" s="20">
        <v>7.4</v>
      </c>
      <c r="F56" s="20">
        <v>7.4</v>
      </c>
      <c r="G56" s="20">
        <v>7.7</v>
      </c>
      <c r="I56" s="20">
        <v>7.9</v>
      </c>
      <c r="J56" s="187">
        <v>7.5</v>
      </c>
      <c r="K56" s="20">
        <v>1.4</v>
      </c>
      <c r="L56" s="20">
        <v>1.3</v>
      </c>
      <c r="M56" s="20">
        <v>2.8</v>
      </c>
      <c r="N56" s="20">
        <v>2.8</v>
      </c>
      <c r="O56" s="20">
        <v>1.4</v>
      </c>
      <c r="P56" s="20">
        <v>0</v>
      </c>
      <c r="R56" s="20">
        <v>1.3</v>
      </c>
      <c r="S56" s="20">
        <v>2.7</v>
      </c>
      <c r="T56" s="20">
        <v>1.4</v>
      </c>
      <c r="U56" s="20">
        <v>0</v>
      </c>
      <c r="V56" s="20">
        <v>1.4</v>
      </c>
      <c r="W56" s="20">
        <v>0</v>
      </c>
      <c r="X56" s="20">
        <v>0</v>
      </c>
      <c r="Y56" s="20">
        <v>0</v>
      </c>
      <c r="AA56" s="20">
        <v>0</v>
      </c>
      <c r="AB56" s="20">
        <v>1.4</v>
      </c>
    </row>
    <row r="57" spans="1:28" x14ac:dyDescent="0.2">
      <c r="A57" s="22">
        <v>21976</v>
      </c>
      <c r="B57" s="20">
        <v>7.4</v>
      </c>
      <c r="C57" s="20">
        <v>7.7</v>
      </c>
      <c r="D57" s="20">
        <v>7.4</v>
      </c>
      <c r="E57" s="20">
        <v>7.5</v>
      </c>
      <c r="F57" s="20">
        <v>7.5</v>
      </c>
      <c r="G57" s="20">
        <v>7.8</v>
      </c>
      <c r="I57" s="20">
        <v>8</v>
      </c>
      <c r="J57" s="187">
        <v>7.5</v>
      </c>
      <c r="K57" s="20">
        <v>1.4</v>
      </c>
      <c r="L57" s="20">
        <v>2.7</v>
      </c>
      <c r="M57" s="20">
        <v>2.8</v>
      </c>
      <c r="N57" s="20">
        <v>2.7</v>
      </c>
      <c r="O57" s="20">
        <v>1.4</v>
      </c>
      <c r="P57" s="20">
        <v>1.3</v>
      </c>
      <c r="R57" s="20">
        <v>2.6</v>
      </c>
      <c r="S57" s="20">
        <v>2.7</v>
      </c>
      <c r="T57" s="20">
        <v>0</v>
      </c>
      <c r="U57" s="20">
        <v>1.3</v>
      </c>
      <c r="V57" s="20">
        <v>0</v>
      </c>
      <c r="W57" s="20">
        <v>1.4</v>
      </c>
      <c r="X57" s="20">
        <v>1.4</v>
      </c>
      <c r="Y57" s="20">
        <v>1.3</v>
      </c>
      <c r="AA57" s="20">
        <v>1.3</v>
      </c>
      <c r="AB57" s="20">
        <v>0</v>
      </c>
    </row>
    <row r="58" spans="1:28" x14ac:dyDescent="0.2">
      <c r="A58" s="22">
        <v>22068</v>
      </c>
      <c r="B58" s="20">
        <v>7.5</v>
      </c>
      <c r="C58" s="20">
        <v>7.9</v>
      </c>
      <c r="D58" s="20">
        <v>7.4</v>
      </c>
      <c r="E58" s="20">
        <v>7.6</v>
      </c>
      <c r="F58" s="20">
        <v>7.6</v>
      </c>
      <c r="G58" s="20">
        <v>7.9</v>
      </c>
      <c r="I58" s="20">
        <v>8</v>
      </c>
      <c r="J58" s="187">
        <v>7.6</v>
      </c>
      <c r="K58" s="20">
        <v>2.7</v>
      </c>
      <c r="L58" s="20">
        <v>5.3</v>
      </c>
      <c r="M58" s="20">
        <v>2.8</v>
      </c>
      <c r="N58" s="20">
        <v>4.0999999999999996</v>
      </c>
      <c r="O58" s="20">
        <v>2.7</v>
      </c>
      <c r="P58" s="20">
        <v>2.6</v>
      </c>
      <c r="R58" s="20">
        <v>1.3</v>
      </c>
      <c r="S58" s="20">
        <v>4.0999999999999996</v>
      </c>
      <c r="T58" s="20">
        <v>1.4</v>
      </c>
      <c r="U58" s="20">
        <v>2.6</v>
      </c>
      <c r="V58" s="20">
        <v>0</v>
      </c>
      <c r="W58" s="20">
        <v>1.3</v>
      </c>
      <c r="X58" s="20">
        <v>1.3</v>
      </c>
      <c r="Y58" s="20">
        <v>1.3</v>
      </c>
      <c r="AA58" s="20">
        <v>0</v>
      </c>
      <c r="AB58" s="20">
        <v>1.3</v>
      </c>
    </row>
    <row r="59" spans="1:28" x14ac:dyDescent="0.2">
      <c r="A59" s="22">
        <v>22160</v>
      </c>
      <c r="B59" s="20">
        <v>7.6</v>
      </c>
      <c r="C59" s="20">
        <v>8</v>
      </c>
      <c r="D59" s="20">
        <v>7.5</v>
      </c>
      <c r="E59" s="20">
        <v>7.7</v>
      </c>
      <c r="F59" s="20">
        <v>7.7</v>
      </c>
      <c r="G59" s="20">
        <v>8.1</v>
      </c>
      <c r="I59" s="20">
        <v>8.1999999999999993</v>
      </c>
      <c r="J59" s="187">
        <v>7.7</v>
      </c>
      <c r="K59" s="20">
        <v>4.0999999999999996</v>
      </c>
      <c r="L59" s="20">
        <v>5.3</v>
      </c>
      <c r="M59" s="20">
        <v>2.7</v>
      </c>
      <c r="N59" s="20">
        <v>4.0999999999999996</v>
      </c>
      <c r="O59" s="20">
        <v>4.0999999999999996</v>
      </c>
      <c r="P59" s="20">
        <v>5.2</v>
      </c>
      <c r="R59" s="20">
        <v>3.8</v>
      </c>
      <c r="S59" s="20">
        <v>4.0999999999999996</v>
      </c>
      <c r="T59" s="20">
        <v>1.3</v>
      </c>
      <c r="U59" s="20">
        <v>1.3</v>
      </c>
      <c r="V59" s="20">
        <v>1.4</v>
      </c>
      <c r="W59" s="20">
        <v>1.3</v>
      </c>
      <c r="X59" s="20">
        <v>1.3</v>
      </c>
      <c r="Y59" s="20">
        <v>2.5</v>
      </c>
      <c r="AA59" s="20">
        <v>2.5</v>
      </c>
      <c r="AB59" s="20">
        <v>1.3</v>
      </c>
    </row>
    <row r="60" spans="1:28" x14ac:dyDescent="0.2">
      <c r="A60" s="22">
        <v>22251</v>
      </c>
      <c r="B60" s="20">
        <v>7.7</v>
      </c>
      <c r="C60" s="20">
        <v>8</v>
      </c>
      <c r="D60" s="20">
        <v>7.6</v>
      </c>
      <c r="E60" s="20">
        <v>7.8</v>
      </c>
      <c r="F60" s="20">
        <v>7.7</v>
      </c>
      <c r="G60" s="20">
        <v>8.1999999999999993</v>
      </c>
      <c r="I60" s="20">
        <v>8.1999999999999993</v>
      </c>
      <c r="J60" s="187">
        <v>7.8</v>
      </c>
      <c r="K60" s="20">
        <v>4.0999999999999996</v>
      </c>
      <c r="L60" s="20">
        <v>5.3</v>
      </c>
      <c r="M60" s="20">
        <v>2.7</v>
      </c>
      <c r="N60" s="20">
        <v>5.4</v>
      </c>
      <c r="O60" s="20">
        <v>4.0999999999999996</v>
      </c>
      <c r="P60" s="20">
        <v>6.5</v>
      </c>
      <c r="R60" s="20">
        <v>3.8</v>
      </c>
      <c r="S60" s="20">
        <v>4</v>
      </c>
      <c r="T60" s="20">
        <v>1.3</v>
      </c>
      <c r="U60" s="20">
        <v>0</v>
      </c>
      <c r="V60" s="20">
        <v>1.3</v>
      </c>
      <c r="W60" s="20">
        <v>1.3</v>
      </c>
      <c r="X60" s="20">
        <v>0</v>
      </c>
      <c r="Y60" s="20">
        <v>1.2</v>
      </c>
      <c r="AA60" s="20">
        <v>0</v>
      </c>
      <c r="AB60" s="20">
        <v>1.3</v>
      </c>
    </row>
    <row r="61" spans="1:28" x14ac:dyDescent="0.2">
      <c r="A61" s="22">
        <v>22341</v>
      </c>
      <c r="B61" s="20">
        <v>7.7</v>
      </c>
      <c r="C61" s="20">
        <v>8</v>
      </c>
      <c r="D61" s="20">
        <v>7.7</v>
      </c>
      <c r="E61" s="20">
        <v>7.8</v>
      </c>
      <c r="F61" s="20">
        <v>7.8</v>
      </c>
      <c r="G61" s="20">
        <v>8.3000000000000007</v>
      </c>
      <c r="I61" s="20">
        <v>8.1999999999999993</v>
      </c>
      <c r="J61" s="187">
        <v>7.8</v>
      </c>
      <c r="K61" s="20">
        <v>4.0999999999999996</v>
      </c>
      <c r="L61" s="20">
        <v>3.9</v>
      </c>
      <c r="M61" s="20">
        <v>4.0999999999999996</v>
      </c>
      <c r="N61" s="20">
        <v>4</v>
      </c>
      <c r="O61" s="20">
        <v>4</v>
      </c>
      <c r="P61" s="20">
        <v>6.4</v>
      </c>
      <c r="R61" s="20">
        <v>2.5</v>
      </c>
      <c r="S61" s="20">
        <v>4</v>
      </c>
      <c r="T61" s="20">
        <v>0</v>
      </c>
      <c r="U61" s="20">
        <v>0</v>
      </c>
      <c r="V61" s="20">
        <v>1.3</v>
      </c>
      <c r="W61" s="20">
        <v>0</v>
      </c>
      <c r="X61" s="20">
        <v>1.3</v>
      </c>
      <c r="Y61" s="20">
        <v>1.2</v>
      </c>
      <c r="AA61" s="20">
        <v>0</v>
      </c>
      <c r="AB61" s="20">
        <v>0</v>
      </c>
    </row>
    <row r="62" spans="1:28" x14ac:dyDescent="0.2">
      <c r="A62" s="22">
        <v>22433</v>
      </c>
      <c r="B62" s="20">
        <v>7.8</v>
      </c>
      <c r="C62" s="20">
        <v>8.1</v>
      </c>
      <c r="D62" s="20">
        <v>7.7</v>
      </c>
      <c r="E62" s="20">
        <v>7.9</v>
      </c>
      <c r="F62" s="20">
        <v>7.9</v>
      </c>
      <c r="G62" s="20">
        <v>8.3000000000000007</v>
      </c>
      <c r="I62" s="20">
        <v>8.3000000000000007</v>
      </c>
      <c r="J62" s="187">
        <v>7.9</v>
      </c>
      <c r="K62" s="20">
        <v>4</v>
      </c>
      <c r="L62" s="20">
        <v>2.5</v>
      </c>
      <c r="M62" s="20">
        <v>4.0999999999999996</v>
      </c>
      <c r="N62" s="20">
        <v>3.9</v>
      </c>
      <c r="O62" s="20">
        <v>3.9</v>
      </c>
      <c r="P62" s="20">
        <v>5.0999999999999996</v>
      </c>
      <c r="R62" s="20">
        <v>3.8</v>
      </c>
      <c r="S62" s="20">
        <v>3.9</v>
      </c>
      <c r="T62" s="20">
        <v>1.3</v>
      </c>
      <c r="U62" s="20">
        <v>1.3</v>
      </c>
      <c r="V62" s="20">
        <v>0</v>
      </c>
      <c r="W62" s="20">
        <v>1.3</v>
      </c>
      <c r="X62" s="20">
        <v>1.3</v>
      </c>
      <c r="Y62" s="20">
        <v>0</v>
      </c>
      <c r="AA62" s="20">
        <v>1.2</v>
      </c>
      <c r="AB62" s="20">
        <v>1.3</v>
      </c>
    </row>
    <row r="63" spans="1:28" x14ac:dyDescent="0.2">
      <c r="A63" s="22">
        <v>22525</v>
      </c>
      <c r="B63" s="20">
        <v>7.7</v>
      </c>
      <c r="C63" s="20">
        <v>8.1</v>
      </c>
      <c r="D63" s="20">
        <v>7.7</v>
      </c>
      <c r="E63" s="20">
        <v>7.8</v>
      </c>
      <c r="F63" s="20">
        <v>7.8</v>
      </c>
      <c r="G63" s="20">
        <v>8.4</v>
      </c>
      <c r="I63" s="20">
        <v>8.3000000000000007</v>
      </c>
      <c r="J63" s="187">
        <v>7.8</v>
      </c>
      <c r="K63" s="20">
        <v>1.3</v>
      </c>
      <c r="L63" s="20">
        <v>1.3</v>
      </c>
      <c r="M63" s="20">
        <v>2.7</v>
      </c>
      <c r="N63" s="20">
        <v>1.3</v>
      </c>
      <c r="O63" s="20">
        <v>1.3</v>
      </c>
      <c r="P63" s="20">
        <v>3.7</v>
      </c>
      <c r="R63" s="20">
        <v>1.2</v>
      </c>
      <c r="S63" s="20">
        <v>1.3</v>
      </c>
      <c r="T63" s="20">
        <v>-1.3</v>
      </c>
      <c r="U63" s="20">
        <v>0</v>
      </c>
      <c r="V63" s="20">
        <v>0</v>
      </c>
      <c r="W63" s="20">
        <v>-1.3</v>
      </c>
      <c r="X63" s="20">
        <v>-1.3</v>
      </c>
      <c r="Y63" s="20">
        <v>1.2</v>
      </c>
      <c r="AA63" s="20">
        <v>0</v>
      </c>
      <c r="AB63" s="20">
        <v>-1.3</v>
      </c>
    </row>
    <row r="64" spans="1:28" x14ac:dyDescent="0.2">
      <c r="A64" s="22">
        <v>22616</v>
      </c>
      <c r="B64" s="20">
        <v>7.7</v>
      </c>
      <c r="C64" s="20">
        <v>8.1</v>
      </c>
      <c r="D64" s="20">
        <v>7.7</v>
      </c>
      <c r="E64" s="20">
        <v>7.8</v>
      </c>
      <c r="F64" s="20">
        <v>7.7</v>
      </c>
      <c r="G64" s="20">
        <v>8.3000000000000007</v>
      </c>
      <c r="I64" s="20">
        <v>8.4</v>
      </c>
      <c r="J64" s="187">
        <v>7.8</v>
      </c>
      <c r="K64" s="20">
        <v>0</v>
      </c>
      <c r="L64" s="20">
        <v>1.3</v>
      </c>
      <c r="M64" s="20">
        <v>1.3</v>
      </c>
      <c r="N64" s="20">
        <v>0</v>
      </c>
      <c r="O64" s="20">
        <v>0</v>
      </c>
      <c r="P64" s="20">
        <v>1.2</v>
      </c>
      <c r="R64" s="20">
        <v>2.4</v>
      </c>
      <c r="S64" s="20">
        <v>0</v>
      </c>
      <c r="T64" s="20">
        <v>0</v>
      </c>
      <c r="U64" s="20">
        <v>0</v>
      </c>
      <c r="V64" s="20">
        <v>0</v>
      </c>
      <c r="W64" s="20">
        <v>0</v>
      </c>
      <c r="X64" s="20">
        <v>-1.3</v>
      </c>
      <c r="Y64" s="20">
        <v>-1.2</v>
      </c>
      <c r="AA64" s="20">
        <v>1.2</v>
      </c>
      <c r="AB64" s="20">
        <v>0</v>
      </c>
    </row>
    <row r="65" spans="1:28" x14ac:dyDescent="0.2">
      <c r="A65" s="22">
        <v>22706</v>
      </c>
      <c r="B65" s="20">
        <v>7.7</v>
      </c>
      <c r="C65" s="20">
        <v>8</v>
      </c>
      <c r="D65" s="20">
        <v>7.8</v>
      </c>
      <c r="E65" s="20">
        <v>7.7</v>
      </c>
      <c r="F65" s="20">
        <v>7.8</v>
      </c>
      <c r="G65" s="20">
        <v>8.3000000000000007</v>
      </c>
      <c r="I65" s="20">
        <v>8.3000000000000007</v>
      </c>
      <c r="J65" s="187">
        <v>7.8</v>
      </c>
      <c r="K65" s="20">
        <v>0</v>
      </c>
      <c r="L65" s="20">
        <v>0</v>
      </c>
      <c r="M65" s="20">
        <v>1.3</v>
      </c>
      <c r="N65" s="20">
        <v>-1.3</v>
      </c>
      <c r="O65" s="20">
        <v>0</v>
      </c>
      <c r="P65" s="20">
        <v>0</v>
      </c>
      <c r="R65" s="20">
        <v>1.2</v>
      </c>
      <c r="S65" s="20">
        <v>0</v>
      </c>
      <c r="T65" s="20">
        <v>0</v>
      </c>
      <c r="U65" s="20">
        <v>-1.2</v>
      </c>
      <c r="V65" s="20">
        <v>1.3</v>
      </c>
      <c r="W65" s="20">
        <v>-1.3</v>
      </c>
      <c r="X65" s="20">
        <v>1.3</v>
      </c>
      <c r="Y65" s="20">
        <v>0</v>
      </c>
      <c r="AA65" s="20">
        <v>-1.2</v>
      </c>
      <c r="AB65" s="20">
        <v>0</v>
      </c>
    </row>
    <row r="66" spans="1:28" x14ac:dyDescent="0.2">
      <c r="A66" s="22">
        <v>22798</v>
      </c>
      <c r="B66" s="20">
        <v>7.7</v>
      </c>
      <c r="C66" s="20">
        <v>8</v>
      </c>
      <c r="D66" s="20">
        <v>7.8</v>
      </c>
      <c r="E66" s="20">
        <v>7.7</v>
      </c>
      <c r="F66" s="20">
        <v>7.8</v>
      </c>
      <c r="G66" s="20">
        <v>8.3000000000000007</v>
      </c>
      <c r="I66" s="20">
        <v>8.3000000000000007</v>
      </c>
      <c r="J66" s="187">
        <v>7.8</v>
      </c>
      <c r="K66" s="20">
        <v>-1.3</v>
      </c>
      <c r="L66" s="20">
        <v>-1.2</v>
      </c>
      <c r="M66" s="20">
        <v>1.3</v>
      </c>
      <c r="N66" s="20">
        <v>-2.5</v>
      </c>
      <c r="O66" s="20">
        <v>-1.3</v>
      </c>
      <c r="P66" s="20">
        <v>0</v>
      </c>
      <c r="R66" s="20">
        <v>0</v>
      </c>
      <c r="S66" s="20">
        <v>-1.3</v>
      </c>
      <c r="T66" s="20">
        <v>0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AA66" s="20">
        <v>0</v>
      </c>
      <c r="AB66" s="20">
        <v>0</v>
      </c>
    </row>
    <row r="67" spans="1:28" x14ac:dyDescent="0.2">
      <c r="A67" s="22">
        <v>22890</v>
      </c>
      <c r="B67" s="20">
        <v>7.7</v>
      </c>
      <c r="C67" s="20">
        <v>8</v>
      </c>
      <c r="D67" s="20">
        <v>7.8</v>
      </c>
      <c r="E67" s="20">
        <v>7.7</v>
      </c>
      <c r="F67" s="20">
        <v>7.8</v>
      </c>
      <c r="G67" s="20">
        <v>8.3000000000000007</v>
      </c>
      <c r="I67" s="20">
        <v>8.3000000000000007</v>
      </c>
      <c r="J67" s="187">
        <v>7.8</v>
      </c>
      <c r="K67" s="20">
        <v>0</v>
      </c>
      <c r="L67" s="20">
        <v>-1.2</v>
      </c>
      <c r="M67" s="20">
        <v>1.3</v>
      </c>
      <c r="N67" s="20">
        <v>-1.3</v>
      </c>
      <c r="O67" s="20">
        <v>0</v>
      </c>
      <c r="P67" s="20">
        <v>-1.2</v>
      </c>
      <c r="R67" s="20">
        <v>0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0</v>
      </c>
      <c r="Y67" s="20">
        <v>0</v>
      </c>
      <c r="AA67" s="20">
        <v>0</v>
      </c>
      <c r="AB67" s="20">
        <v>0</v>
      </c>
    </row>
    <row r="68" spans="1:28" x14ac:dyDescent="0.2">
      <c r="A68" s="22">
        <v>22981</v>
      </c>
      <c r="B68" s="20">
        <v>7.8</v>
      </c>
      <c r="C68" s="20">
        <v>8</v>
      </c>
      <c r="D68" s="20">
        <v>7.8</v>
      </c>
      <c r="E68" s="20">
        <v>7.7</v>
      </c>
      <c r="F68" s="20">
        <v>7.8</v>
      </c>
      <c r="G68" s="20">
        <v>8.3000000000000007</v>
      </c>
      <c r="I68" s="20">
        <v>8.4</v>
      </c>
      <c r="J68" s="187">
        <v>7.8</v>
      </c>
      <c r="K68" s="20">
        <v>1.3</v>
      </c>
      <c r="L68" s="20">
        <v>-1.2</v>
      </c>
      <c r="M68" s="20">
        <v>1.3</v>
      </c>
      <c r="N68" s="20">
        <v>-1.3</v>
      </c>
      <c r="O68" s="20">
        <v>1.3</v>
      </c>
      <c r="P68" s="20">
        <v>0</v>
      </c>
      <c r="R68" s="20">
        <v>0</v>
      </c>
      <c r="S68" s="20">
        <v>0</v>
      </c>
      <c r="T68" s="20">
        <v>1.3</v>
      </c>
      <c r="U68" s="20">
        <v>0</v>
      </c>
      <c r="V68" s="20">
        <v>0</v>
      </c>
      <c r="W68" s="20">
        <v>0</v>
      </c>
      <c r="X68" s="20">
        <v>0</v>
      </c>
      <c r="Y68" s="20">
        <v>0</v>
      </c>
      <c r="AA68" s="20">
        <v>1.2</v>
      </c>
      <c r="AB68" s="20">
        <v>0</v>
      </c>
    </row>
    <row r="69" spans="1:28" x14ac:dyDescent="0.2">
      <c r="A69" s="22">
        <v>23071</v>
      </c>
      <c r="B69" s="20">
        <v>7.8</v>
      </c>
      <c r="C69" s="20">
        <v>8</v>
      </c>
      <c r="D69" s="20">
        <v>7.8</v>
      </c>
      <c r="E69" s="20">
        <v>7.7</v>
      </c>
      <c r="F69" s="20">
        <v>7.9</v>
      </c>
      <c r="G69" s="20">
        <v>8.3000000000000007</v>
      </c>
      <c r="I69" s="20">
        <v>8.3000000000000007</v>
      </c>
      <c r="J69" s="187">
        <v>7.8</v>
      </c>
      <c r="K69" s="20">
        <v>1.3</v>
      </c>
      <c r="L69" s="20">
        <v>0</v>
      </c>
      <c r="M69" s="20">
        <v>0</v>
      </c>
      <c r="N69" s="20">
        <v>0</v>
      </c>
      <c r="O69" s="20">
        <v>1.3</v>
      </c>
      <c r="P69" s="20">
        <v>0</v>
      </c>
      <c r="R69" s="20">
        <v>0</v>
      </c>
      <c r="S69" s="20">
        <v>0</v>
      </c>
      <c r="T69" s="20">
        <v>0</v>
      </c>
      <c r="U69" s="20">
        <v>0</v>
      </c>
      <c r="V69" s="20">
        <v>0</v>
      </c>
      <c r="W69" s="20">
        <v>0</v>
      </c>
      <c r="X69" s="20">
        <v>1.3</v>
      </c>
      <c r="Y69" s="20">
        <v>0</v>
      </c>
      <c r="AA69" s="20">
        <v>-1.2</v>
      </c>
      <c r="AB69" s="20">
        <v>0</v>
      </c>
    </row>
    <row r="70" spans="1:28" x14ac:dyDescent="0.2">
      <c r="A70" s="22">
        <v>23163</v>
      </c>
      <c r="B70" s="20">
        <v>7.8</v>
      </c>
      <c r="C70" s="20">
        <v>8.1</v>
      </c>
      <c r="D70" s="20">
        <v>7.8</v>
      </c>
      <c r="E70" s="20">
        <v>7.8</v>
      </c>
      <c r="F70" s="20">
        <v>7.9</v>
      </c>
      <c r="G70" s="20">
        <v>8.3000000000000007</v>
      </c>
      <c r="I70" s="20">
        <v>8.3000000000000007</v>
      </c>
      <c r="J70" s="187">
        <v>7.8</v>
      </c>
      <c r="K70" s="20">
        <v>1.3</v>
      </c>
      <c r="L70" s="20">
        <v>1.3</v>
      </c>
      <c r="M70" s="20">
        <v>0</v>
      </c>
      <c r="N70" s="20">
        <v>1.3</v>
      </c>
      <c r="O70" s="20">
        <v>1.3</v>
      </c>
      <c r="P70" s="20">
        <v>0</v>
      </c>
      <c r="R70" s="20">
        <v>0</v>
      </c>
      <c r="S70" s="20">
        <v>0</v>
      </c>
      <c r="T70" s="20">
        <v>0</v>
      </c>
      <c r="U70" s="20">
        <v>1.3</v>
      </c>
      <c r="V70" s="20">
        <v>0</v>
      </c>
      <c r="W70" s="20">
        <v>1.3</v>
      </c>
      <c r="X70" s="20">
        <v>0</v>
      </c>
      <c r="Y70" s="20">
        <v>0</v>
      </c>
      <c r="AA70" s="20">
        <v>0</v>
      </c>
      <c r="AB70" s="20">
        <v>0</v>
      </c>
    </row>
    <row r="71" spans="1:28" x14ac:dyDescent="0.2">
      <c r="A71" s="22">
        <v>23255</v>
      </c>
      <c r="B71" s="20">
        <v>7.8</v>
      </c>
      <c r="C71" s="20">
        <v>8.1</v>
      </c>
      <c r="D71" s="20">
        <v>7.8</v>
      </c>
      <c r="E71" s="20">
        <v>7.8</v>
      </c>
      <c r="F71" s="20">
        <v>7.9</v>
      </c>
      <c r="G71" s="20">
        <v>8.3000000000000007</v>
      </c>
      <c r="I71" s="20">
        <v>8.4</v>
      </c>
      <c r="J71" s="187">
        <v>7.9</v>
      </c>
      <c r="K71" s="20">
        <v>1.3</v>
      </c>
      <c r="L71" s="20">
        <v>1.3</v>
      </c>
      <c r="M71" s="20">
        <v>0</v>
      </c>
      <c r="N71" s="20">
        <v>1.3</v>
      </c>
      <c r="O71" s="20">
        <v>1.3</v>
      </c>
      <c r="P71" s="20">
        <v>0</v>
      </c>
      <c r="R71" s="20">
        <v>1.2</v>
      </c>
      <c r="S71" s="20">
        <v>1.3</v>
      </c>
      <c r="T71" s="20">
        <v>0</v>
      </c>
      <c r="U71" s="20">
        <v>0</v>
      </c>
      <c r="V71" s="20">
        <v>0</v>
      </c>
      <c r="W71" s="20">
        <v>0</v>
      </c>
      <c r="X71" s="20">
        <v>0</v>
      </c>
      <c r="Y71" s="20">
        <v>0</v>
      </c>
      <c r="AA71" s="20">
        <v>1.2</v>
      </c>
      <c r="AB71" s="20">
        <v>1.3</v>
      </c>
    </row>
    <row r="72" spans="1:28" x14ac:dyDescent="0.2">
      <c r="A72" s="22">
        <v>23346</v>
      </c>
      <c r="B72" s="20">
        <v>7.8</v>
      </c>
      <c r="C72" s="20">
        <v>8.1</v>
      </c>
      <c r="D72" s="20">
        <v>7.8</v>
      </c>
      <c r="E72" s="20">
        <v>7.8</v>
      </c>
      <c r="F72" s="20">
        <v>7.9</v>
      </c>
      <c r="G72" s="20">
        <v>8.4</v>
      </c>
      <c r="I72" s="20">
        <v>8.4</v>
      </c>
      <c r="J72" s="187">
        <v>7.9</v>
      </c>
      <c r="K72" s="20">
        <v>0</v>
      </c>
      <c r="L72" s="20">
        <v>1.3</v>
      </c>
      <c r="M72" s="20">
        <v>0</v>
      </c>
      <c r="N72" s="20">
        <v>1.3</v>
      </c>
      <c r="O72" s="20">
        <v>1.3</v>
      </c>
      <c r="P72" s="20">
        <v>1.2</v>
      </c>
      <c r="R72" s="20">
        <v>0</v>
      </c>
      <c r="S72" s="20">
        <v>1.3</v>
      </c>
      <c r="T72" s="20">
        <v>0</v>
      </c>
      <c r="U72" s="20">
        <v>0</v>
      </c>
      <c r="V72" s="20">
        <v>0</v>
      </c>
      <c r="W72" s="20">
        <v>0</v>
      </c>
      <c r="X72" s="20">
        <v>0</v>
      </c>
      <c r="Y72" s="20">
        <v>1.2</v>
      </c>
      <c r="AA72" s="20">
        <v>0</v>
      </c>
      <c r="AB72" s="20">
        <v>0</v>
      </c>
    </row>
    <row r="73" spans="1:28" x14ac:dyDescent="0.2">
      <c r="A73" s="22">
        <v>23437</v>
      </c>
      <c r="B73" s="20">
        <v>7.8</v>
      </c>
      <c r="C73" s="20">
        <v>8.1</v>
      </c>
      <c r="D73" s="20">
        <v>7.9</v>
      </c>
      <c r="E73" s="20">
        <v>7.8</v>
      </c>
      <c r="F73" s="20">
        <v>8</v>
      </c>
      <c r="G73" s="20">
        <v>8.4</v>
      </c>
      <c r="I73" s="20">
        <v>8.4</v>
      </c>
      <c r="J73" s="187">
        <v>8</v>
      </c>
      <c r="K73" s="20">
        <v>0</v>
      </c>
      <c r="L73" s="20">
        <v>1.3</v>
      </c>
      <c r="M73" s="20">
        <v>1.3</v>
      </c>
      <c r="N73" s="20">
        <v>1.3</v>
      </c>
      <c r="O73" s="20">
        <v>1.3</v>
      </c>
      <c r="P73" s="20">
        <v>1.2</v>
      </c>
      <c r="R73" s="20">
        <v>1.2</v>
      </c>
      <c r="S73" s="20">
        <v>2.6</v>
      </c>
      <c r="T73" s="20">
        <v>0</v>
      </c>
      <c r="U73" s="20">
        <v>0</v>
      </c>
      <c r="V73" s="20">
        <v>1.3</v>
      </c>
      <c r="W73" s="20">
        <v>0</v>
      </c>
      <c r="X73" s="20">
        <v>1.3</v>
      </c>
      <c r="Y73" s="20">
        <v>0</v>
      </c>
      <c r="AA73" s="20">
        <v>0</v>
      </c>
      <c r="AB73" s="20">
        <v>1.3</v>
      </c>
    </row>
    <row r="74" spans="1:28" x14ac:dyDescent="0.2">
      <c r="A74" s="22">
        <v>23529</v>
      </c>
      <c r="B74" s="20">
        <v>7.9</v>
      </c>
      <c r="C74" s="20">
        <v>8.1999999999999993</v>
      </c>
      <c r="D74" s="20">
        <v>8</v>
      </c>
      <c r="E74" s="20">
        <v>8</v>
      </c>
      <c r="F74" s="20">
        <v>8</v>
      </c>
      <c r="G74" s="20">
        <v>8.4</v>
      </c>
      <c r="I74" s="20">
        <v>8.4</v>
      </c>
      <c r="J74" s="187">
        <v>8</v>
      </c>
      <c r="K74" s="20">
        <v>1.3</v>
      </c>
      <c r="L74" s="20">
        <v>1.2</v>
      </c>
      <c r="M74" s="20">
        <v>2.6</v>
      </c>
      <c r="N74" s="20">
        <v>2.6</v>
      </c>
      <c r="O74" s="20">
        <v>1.3</v>
      </c>
      <c r="P74" s="20">
        <v>1.2</v>
      </c>
      <c r="R74" s="20">
        <v>1.2</v>
      </c>
      <c r="S74" s="20">
        <v>2.6</v>
      </c>
      <c r="T74" s="20">
        <v>1.3</v>
      </c>
      <c r="U74" s="20">
        <v>1.2</v>
      </c>
      <c r="V74" s="20">
        <v>1.3</v>
      </c>
      <c r="W74" s="20">
        <v>2.6</v>
      </c>
      <c r="X74" s="20">
        <v>0</v>
      </c>
      <c r="Y74" s="20">
        <v>0</v>
      </c>
      <c r="AA74" s="20">
        <v>0</v>
      </c>
      <c r="AB74" s="20">
        <v>0</v>
      </c>
    </row>
    <row r="75" spans="1:28" x14ac:dyDescent="0.2">
      <c r="A75" s="22">
        <v>23621</v>
      </c>
      <c r="B75" s="20">
        <v>8</v>
      </c>
      <c r="C75" s="20">
        <v>8.1999999999999993</v>
      </c>
      <c r="D75" s="20">
        <v>8.1</v>
      </c>
      <c r="E75" s="20">
        <v>8.1</v>
      </c>
      <c r="F75" s="20">
        <v>8.1</v>
      </c>
      <c r="G75" s="20">
        <v>8.5</v>
      </c>
      <c r="I75" s="20">
        <v>8.5</v>
      </c>
      <c r="J75" s="187">
        <v>8.1</v>
      </c>
      <c r="K75" s="20">
        <v>2.6</v>
      </c>
      <c r="L75" s="20">
        <v>1.2</v>
      </c>
      <c r="M75" s="20">
        <v>3.8</v>
      </c>
      <c r="N75" s="20">
        <v>3.8</v>
      </c>
      <c r="O75" s="20">
        <v>2.5</v>
      </c>
      <c r="P75" s="20">
        <v>2.4</v>
      </c>
      <c r="R75" s="20">
        <v>1.2</v>
      </c>
      <c r="S75" s="20">
        <v>2.5</v>
      </c>
      <c r="T75" s="20">
        <v>1.3</v>
      </c>
      <c r="U75" s="20">
        <v>0</v>
      </c>
      <c r="V75" s="20">
        <v>1.3</v>
      </c>
      <c r="W75" s="20">
        <v>1.3</v>
      </c>
      <c r="X75" s="20">
        <v>1.3</v>
      </c>
      <c r="Y75" s="20">
        <v>1.2</v>
      </c>
      <c r="AA75" s="20">
        <v>1.2</v>
      </c>
      <c r="AB75" s="20">
        <v>1.3</v>
      </c>
    </row>
    <row r="76" spans="1:28" x14ac:dyDescent="0.2">
      <c r="A76" s="22">
        <v>23712</v>
      </c>
      <c r="B76" s="20">
        <v>8.1</v>
      </c>
      <c r="C76" s="20">
        <v>8.4</v>
      </c>
      <c r="D76" s="20">
        <v>8.1</v>
      </c>
      <c r="E76" s="20">
        <v>8.1999999999999993</v>
      </c>
      <c r="F76" s="20">
        <v>8.1</v>
      </c>
      <c r="G76" s="20">
        <v>8.6</v>
      </c>
      <c r="I76" s="20">
        <v>8.6999999999999993</v>
      </c>
      <c r="J76" s="187">
        <v>8.1999999999999993</v>
      </c>
      <c r="K76" s="20">
        <v>3.8</v>
      </c>
      <c r="L76" s="20">
        <v>3.7</v>
      </c>
      <c r="M76" s="20">
        <v>3.8</v>
      </c>
      <c r="N76" s="20">
        <v>5.0999999999999996</v>
      </c>
      <c r="O76" s="20">
        <v>2.5</v>
      </c>
      <c r="P76" s="20">
        <v>2.4</v>
      </c>
      <c r="R76" s="20">
        <v>3.6</v>
      </c>
      <c r="S76" s="20">
        <v>3.8</v>
      </c>
      <c r="T76" s="20">
        <v>1.3</v>
      </c>
      <c r="U76" s="20">
        <v>2.4</v>
      </c>
      <c r="V76" s="20">
        <v>0</v>
      </c>
      <c r="W76" s="20">
        <v>1.2</v>
      </c>
      <c r="X76" s="20">
        <v>0</v>
      </c>
      <c r="Y76" s="20">
        <v>1.2</v>
      </c>
      <c r="AA76" s="20">
        <v>2.4</v>
      </c>
      <c r="AB76" s="20">
        <v>1.2</v>
      </c>
    </row>
    <row r="77" spans="1:28" x14ac:dyDescent="0.2">
      <c r="A77" s="22">
        <v>23802</v>
      </c>
      <c r="B77" s="20">
        <v>8.1</v>
      </c>
      <c r="C77" s="20">
        <v>8.5</v>
      </c>
      <c r="D77" s="20">
        <v>8.1999999999999993</v>
      </c>
      <c r="E77" s="20">
        <v>8.1999999999999993</v>
      </c>
      <c r="F77" s="20">
        <v>8.1999999999999993</v>
      </c>
      <c r="G77" s="20">
        <v>8.6</v>
      </c>
      <c r="I77" s="20">
        <v>8.6999999999999993</v>
      </c>
      <c r="J77" s="187">
        <v>8.1999999999999993</v>
      </c>
      <c r="K77" s="20">
        <v>3.8</v>
      </c>
      <c r="L77" s="20">
        <v>4.9000000000000004</v>
      </c>
      <c r="M77" s="20">
        <v>3.8</v>
      </c>
      <c r="N77" s="20">
        <v>5.0999999999999996</v>
      </c>
      <c r="O77" s="20">
        <v>2.5</v>
      </c>
      <c r="P77" s="20">
        <v>2.4</v>
      </c>
      <c r="R77" s="20">
        <v>3.6</v>
      </c>
      <c r="S77" s="20">
        <v>2.5</v>
      </c>
      <c r="T77" s="20">
        <v>0</v>
      </c>
      <c r="U77" s="20">
        <v>1.2</v>
      </c>
      <c r="V77" s="20">
        <v>1.2</v>
      </c>
      <c r="W77" s="20">
        <v>0</v>
      </c>
      <c r="X77" s="20">
        <v>1.2</v>
      </c>
      <c r="Y77" s="20">
        <v>0</v>
      </c>
      <c r="AA77" s="20">
        <v>0</v>
      </c>
      <c r="AB77" s="20">
        <v>0</v>
      </c>
    </row>
    <row r="78" spans="1:28" x14ac:dyDescent="0.2">
      <c r="A78" s="22">
        <v>23894</v>
      </c>
      <c r="B78" s="20">
        <v>8.1999999999999993</v>
      </c>
      <c r="C78" s="20">
        <v>8.6</v>
      </c>
      <c r="D78" s="20">
        <v>8.3000000000000007</v>
      </c>
      <c r="E78" s="20">
        <v>8.1999999999999993</v>
      </c>
      <c r="F78" s="20">
        <v>8.3000000000000007</v>
      </c>
      <c r="G78" s="20">
        <v>8.8000000000000007</v>
      </c>
      <c r="I78" s="20">
        <v>8.8000000000000007</v>
      </c>
      <c r="J78" s="187">
        <v>8.3000000000000007</v>
      </c>
      <c r="K78" s="20">
        <v>3.8</v>
      </c>
      <c r="L78" s="20">
        <v>4.9000000000000004</v>
      </c>
      <c r="M78" s="20">
        <v>3.8</v>
      </c>
      <c r="N78" s="20">
        <v>2.5</v>
      </c>
      <c r="O78" s="20">
        <v>3.8</v>
      </c>
      <c r="P78" s="20">
        <v>4.8</v>
      </c>
      <c r="R78" s="20">
        <v>4.8</v>
      </c>
      <c r="S78" s="20">
        <v>3.8</v>
      </c>
      <c r="T78" s="20">
        <v>1.2</v>
      </c>
      <c r="U78" s="20">
        <v>1.2</v>
      </c>
      <c r="V78" s="20">
        <v>1.2</v>
      </c>
      <c r="W78" s="20">
        <v>0</v>
      </c>
      <c r="X78" s="20">
        <v>1.2</v>
      </c>
      <c r="Y78" s="20">
        <v>2.2999999999999998</v>
      </c>
      <c r="AA78" s="20">
        <v>1.1000000000000001</v>
      </c>
      <c r="AB78" s="20">
        <v>1.2</v>
      </c>
    </row>
    <row r="79" spans="1:28" x14ac:dyDescent="0.2">
      <c r="A79" s="22">
        <v>23986</v>
      </c>
      <c r="B79" s="20">
        <v>8.3000000000000007</v>
      </c>
      <c r="C79" s="20">
        <v>8.6</v>
      </c>
      <c r="D79" s="20">
        <v>8.4</v>
      </c>
      <c r="E79" s="20">
        <v>8.3000000000000007</v>
      </c>
      <c r="F79" s="20">
        <v>8.4</v>
      </c>
      <c r="G79" s="20">
        <v>8.9</v>
      </c>
      <c r="I79" s="20">
        <v>8.8000000000000007</v>
      </c>
      <c r="J79" s="187">
        <v>8.4</v>
      </c>
      <c r="K79" s="20">
        <v>3.8</v>
      </c>
      <c r="L79" s="20">
        <v>4.9000000000000004</v>
      </c>
      <c r="M79" s="20">
        <v>3.7</v>
      </c>
      <c r="N79" s="20">
        <v>2.5</v>
      </c>
      <c r="O79" s="20">
        <v>3.7</v>
      </c>
      <c r="P79" s="20">
        <v>4.7</v>
      </c>
      <c r="R79" s="20">
        <v>3.5</v>
      </c>
      <c r="S79" s="20">
        <v>3.7</v>
      </c>
      <c r="T79" s="20">
        <v>1.2</v>
      </c>
      <c r="U79" s="20">
        <v>0</v>
      </c>
      <c r="V79" s="20">
        <v>1.2</v>
      </c>
      <c r="W79" s="20">
        <v>1.2</v>
      </c>
      <c r="X79" s="20">
        <v>1.2</v>
      </c>
      <c r="Y79" s="20">
        <v>1.1000000000000001</v>
      </c>
      <c r="AA79" s="20">
        <v>0</v>
      </c>
      <c r="AB79" s="20">
        <v>1.2</v>
      </c>
    </row>
    <row r="80" spans="1:28" x14ac:dyDescent="0.2">
      <c r="A80" s="22">
        <v>24077</v>
      </c>
      <c r="B80" s="20">
        <v>8.4</v>
      </c>
      <c r="C80" s="20">
        <v>8.8000000000000007</v>
      </c>
      <c r="D80" s="20">
        <v>8.5</v>
      </c>
      <c r="E80" s="20">
        <v>8.4</v>
      </c>
      <c r="F80" s="20">
        <v>8.4</v>
      </c>
      <c r="G80" s="20">
        <v>9</v>
      </c>
      <c r="I80" s="20">
        <v>8.9</v>
      </c>
      <c r="J80" s="187">
        <v>8.5</v>
      </c>
      <c r="K80" s="20">
        <v>3.7</v>
      </c>
      <c r="L80" s="20">
        <v>4.8</v>
      </c>
      <c r="M80" s="20">
        <v>4.9000000000000004</v>
      </c>
      <c r="N80" s="20">
        <v>2.4</v>
      </c>
      <c r="O80" s="20">
        <v>3.7</v>
      </c>
      <c r="P80" s="20">
        <v>4.7</v>
      </c>
      <c r="R80" s="20">
        <v>2.2999999999999998</v>
      </c>
      <c r="S80" s="20">
        <v>3.7</v>
      </c>
      <c r="T80" s="20">
        <v>1.2</v>
      </c>
      <c r="U80" s="20">
        <v>2.2999999999999998</v>
      </c>
      <c r="V80" s="20">
        <v>1.2</v>
      </c>
      <c r="W80" s="20">
        <v>1.2</v>
      </c>
      <c r="X80" s="20">
        <v>0</v>
      </c>
      <c r="Y80" s="20">
        <v>1.1000000000000001</v>
      </c>
      <c r="AA80" s="20">
        <v>1.1000000000000001</v>
      </c>
      <c r="AB80" s="20">
        <v>1.2</v>
      </c>
    </row>
    <row r="81" spans="1:28" x14ac:dyDescent="0.2">
      <c r="A81" s="22">
        <v>24167</v>
      </c>
      <c r="B81" s="20">
        <v>8.4</v>
      </c>
      <c r="C81" s="20">
        <v>8.8000000000000007</v>
      </c>
      <c r="D81" s="20">
        <v>8.6</v>
      </c>
      <c r="E81" s="20">
        <v>8.4</v>
      </c>
      <c r="F81" s="20">
        <v>8.5</v>
      </c>
      <c r="G81" s="20">
        <v>8.9</v>
      </c>
      <c r="I81" s="20">
        <v>8.9</v>
      </c>
      <c r="J81" s="187">
        <v>8.6</v>
      </c>
      <c r="K81" s="20">
        <v>3.7</v>
      </c>
      <c r="L81" s="20">
        <v>3.5</v>
      </c>
      <c r="M81" s="20">
        <v>4.9000000000000004</v>
      </c>
      <c r="N81" s="20">
        <v>2.4</v>
      </c>
      <c r="O81" s="20">
        <v>3.7</v>
      </c>
      <c r="P81" s="20">
        <v>3.5</v>
      </c>
      <c r="R81" s="20">
        <v>2.2999999999999998</v>
      </c>
      <c r="S81" s="20">
        <v>4.9000000000000004</v>
      </c>
      <c r="T81" s="20">
        <v>0</v>
      </c>
      <c r="U81" s="20">
        <v>0</v>
      </c>
      <c r="V81" s="20">
        <v>1.2</v>
      </c>
      <c r="W81" s="20">
        <v>0</v>
      </c>
      <c r="X81" s="20">
        <v>1.2</v>
      </c>
      <c r="Y81" s="20">
        <v>-1.1000000000000001</v>
      </c>
      <c r="AA81" s="20">
        <v>0</v>
      </c>
      <c r="AB81" s="20">
        <v>1.2</v>
      </c>
    </row>
    <row r="82" spans="1:28" x14ac:dyDescent="0.2">
      <c r="A82" s="22">
        <v>24259</v>
      </c>
      <c r="B82" s="20">
        <v>8.4</v>
      </c>
      <c r="C82" s="20">
        <v>8.8000000000000007</v>
      </c>
      <c r="D82" s="20">
        <v>8.6999999999999993</v>
      </c>
      <c r="E82" s="20">
        <v>8.6</v>
      </c>
      <c r="F82" s="20">
        <v>8.6999999999999993</v>
      </c>
      <c r="G82" s="20">
        <v>9</v>
      </c>
      <c r="I82" s="20">
        <v>8.9</v>
      </c>
      <c r="J82" s="187">
        <v>8.6</v>
      </c>
      <c r="K82" s="20">
        <v>2.4</v>
      </c>
      <c r="L82" s="20">
        <v>2.2999999999999998</v>
      </c>
      <c r="M82" s="20">
        <v>4.8</v>
      </c>
      <c r="N82" s="20">
        <v>4.9000000000000004</v>
      </c>
      <c r="O82" s="20">
        <v>4.8</v>
      </c>
      <c r="P82" s="20">
        <v>2.2999999999999998</v>
      </c>
      <c r="R82" s="20">
        <v>1.1000000000000001</v>
      </c>
      <c r="S82" s="20">
        <v>3.6</v>
      </c>
      <c r="T82" s="20">
        <v>0</v>
      </c>
      <c r="U82" s="20">
        <v>0</v>
      </c>
      <c r="V82" s="20">
        <v>1.2</v>
      </c>
      <c r="W82" s="20">
        <v>2.4</v>
      </c>
      <c r="X82" s="20">
        <v>2.4</v>
      </c>
      <c r="Y82" s="20">
        <v>1.1000000000000001</v>
      </c>
      <c r="AA82" s="20">
        <v>0</v>
      </c>
      <c r="AB82" s="20">
        <v>0</v>
      </c>
    </row>
    <row r="83" spans="1:28" x14ac:dyDescent="0.2">
      <c r="A83" s="22">
        <v>24351</v>
      </c>
      <c r="B83" s="20">
        <v>8.5</v>
      </c>
      <c r="C83" s="20">
        <v>8.9</v>
      </c>
      <c r="D83" s="20">
        <v>8.6999999999999993</v>
      </c>
      <c r="E83" s="20">
        <v>8.6</v>
      </c>
      <c r="F83" s="20">
        <v>8.6999999999999993</v>
      </c>
      <c r="G83" s="20">
        <v>9</v>
      </c>
      <c r="I83" s="20">
        <v>9</v>
      </c>
      <c r="J83" s="187">
        <v>8.6</v>
      </c>
      <c r="K83" s="20">
        <v>2.4</v>
      </c>
      <c r="L83" s="20">
        <v>3.5</v>
      </c>
      <c r="M83" s="20">
        <v>3.6</v>
      </c>
      <c r="N83" s="20">
        <v>3.6</v>
      </c>
      <c r="O83" s="20">
        <v>3.6</v>
      </c>
      <c r="P83" s="20">
        <v>1.1000000000000001</v>
      </c>
      <c r="R83" s="20">
        <v>2.2999999999999998</v>
      </c>
      <c r="S83" s="20">
        <v>2.4</v>
      </c>
      <c r="T83" s="20">
        <v>1.2</v>
      </c>
      <c r="U83" s="20">
        <v>1.1000000000000001</v>
      </c>
      <c r="V83" s="20">
        <v>0</v>
      </c>
      <c r="W83" s="20">
        <v>0</v>
      </c>
      <c r="X83" s="20">
        <v>0</v>
      </c>
      <c r="Y83" s="20">
        <v>0</v>
      </c>
      <c r="AA83" s="20">
        <v>1.1000000000000001</v>
      </c>
      <c r="AB83" s="20">
        <v>0</v>
      </c>
    </row>
    <row r="84" spans="1:28" x14ac:dyDescent="0.2">
      <c r="A84" s="22">
        <v>24442</v>
      </c>
      <c r="B84" s="20">
        <v>8.5</v>
      </c>
      <c r="C84" s="20">
        <v>8.9</v>
      </c>
      <c r="D84" s="20">
        <v>8.8000000000000007</v>
      </c>
      <c r="E84" s="20">
        <v>8.6999999999999993</v>
      </c>
      <c r="F84" s="20">
        <v>8.8000000000000007</v>
      </c>
      <c r="G84" s="20">
        <v>9</v>
      </c>
      <c r="I84" s="20">
        <v>9</v>
      </c>
      <c r="J84" s="187">
        <v>8.6999999999999993</v>
      </c>
      <c r="K84" s="20">
        <v>1.2</v>
      </c>
      <c r="L84" s="20">
        <v>1.1000000000000001</v>
      </c>
      <c r="M84" s="20">
        <v>3.5</v>
      </c>
      <c r="N84" s="20">
        <v>3.6</v>
      </c>
      <c r="O84" s="20">
        <v>4.8</v>
      </c>
      <c r="P84" s="20">
        <v>0</v>
      </c>
      <c r="R84" s="20">
        <v>1.1000000000000001</v>
      </c>
      <c r="S84" s="20">
        <v>2.4</v>
      </c>
      <c r="T84" s="20">
        <v>0</v>
      </c>
      <c r="U84" s="20">
        <v>0</v>
      </c>
      <c r="V84" s="20">
        <v>1.1000000000000001</v>
      </c>
      <c r="W84" s="20">
        <v>1.2</v>
      </c>
      <c r="X84" s="20">
        <v>1.1000000000000001</v>
      </c>
      <c r="Y84" s="20">
        <v>0</v>
      </c>
      <c r="AA84" s="20">
        <v>0</v>
      </c>
      <c r="AB84" s="20">
        <v>1.2</v>
      </c>
    </row>
    <row r="85" spans="1:28" x14ac:dyDescent="0.2">
      <c r="A85" s="22">
        <v>24532</v>
      </c>
      <c r="B85" s="20">
        <v>8.6</v>
      </c>
      <c r="C85" s="20">
        <v>9</v>
      </c>
      <c r="D85" s="20">
        <v>8.8000000000000007</v>
      </c>
      <c r="E85" s="20">
        <v>8.6999999999999993</v>
      </c>
      <c r="F85" s="20">
        <v>8.9</v>
      </c>
      <c r="G85" s="20">
        <v>9.1999999999999993</v>
      </c>
      <c r="I85" s="20">
        <v>9.1</v>
      </c>
      <c r="J85" s="187">
        <v>8.8000000000000007</v>
      </c>
      <c r="K85" s="20">
        <v>2.4</v>
      </c>
      <c r="L85" s="20">
        <v>2.2999999999999998</v>
      </c>
      <c r="M85" s="20">
        <v>2.2999999999999998</v>
      </c>
      <c r="N85" s="20">
        <v>3.6</v>
      </c>
      <c r="O85" s="20">
        <v>4.7</v>
      </c>
      <c r="P85" s="20">
        <v>3.4</v>
      </c>
      <c r="R85" s="20">
        <v>2.2000000000000002</v>
      </c>
      <c r="S85" s="20">
        <v>2.2999999999999998</v>
      </c>
      <c r="T85" s="20">
        <v>1.2</v>
      </c>
      <c r="U85" s="20">
        <v>1.1000000000000001</v>
      </c>
      <c r="V85" s="20">
        <v>0</v>
      </c>
      <c r="W85" s="20">
        <v>0</v>
      </c>
      <c r="X85" s="20">
        <v>1.1000000000000001</v>
      </c>
      <c r="Y85" s="20">
        <v>2.2000000000000002</v>
      </c>
      <c r="AA85" s="20">
        <v>1.1000000000000001</v>
      </c>
      <c r="AB85" s="20">
        <v>1.1000000000000001</v>
      </c>
    </row>
    <row r="86" spans="1:28" x14ac:dyDescent="0.2">
      <c r="A86" s="22">
        <v>24624</v>
      </c>
      <c r="B86" s="20">
        <v>8.6999999999999993</v>
      </c>
      <c r="C86" s="20">
        <v>9.1999999999999993</v>
      </c>
      <c r="D86" s="20">
        <v>8.9</v>
      </c>
      <c r="E86" s="20">
        <v>8.8000000000000007</v>
      </c>
      <c r="F86" s="20">
        <v>9</v>
      </c>
      <c r="G86" s="20">
        <v>9.3000000000000007</v>
      </c>
      <c r="I86" s="20">
        <v>9.1999999999999993</v>
      </c>
      <c r="J86" s="187">
        <v>8.9</v>
      </c>
      <c r="K86" s="20">
        <v>3.6</v>
      </c>
      <c r="L86" s="20">
        <v>4.5</v>
      </c>
      <c r="M86" s="20">
        <v>2.2999999999999998</v>
      </c>
      <c r="N86" s="20">
        <v>2.2999999999999998</v>
      </c>
      <c r="O86" s="20">
        <v>3.4</v>
      </c>
      <c r="P86" s="20">
        <v>3.3</v>
      </c>
      <c r="R86" s="20">
        <v>3.4</v>
      </c>
      <c r="S86" s="20">
        <v>3.5</v>
      </c>
      <c r="T86" s="20">
        <v>1.2</v>
      </c>
      <c r="U86" s="20">
        <v>2.2000000000000002</v>
      </c>
      <c r="V86" s="20">
        <v>1.1000000000000001</v>
      </c>
      <c r="W86" s="20">
        <v>1.1000000000000001</v>
      </c>
      <c r="X86" s="20">
        <v>1.1000000000000001</v>
      </c>
      <c r="Y86" s="20">
        <v>1.1000000000000001</v>
      </c>
      <c r="AA86" s="20">
        <v>1.1000000000000001</v>
      </c>
      <c r="AB86" s="20">
        <v>1.1000000000000001</v>
      </c>
    </row>
    <row r="87" spans="1:28" x14ac:dyDescent="0.2">
      <c r="A87" s="22">
        <v>24716</v>
      </c>
      <c r="B87" s="20">
        <v>8.8000000000000007</v>
      </c>
      <c r="C87" s="20">
        <v>9.3000000000000007</v>
      </c>
      <c r="D87" s="20">
        <v>9</v>
      </c>
      <c r="E87" s="20">
        <v>8.9</v>
      </c>
      <c r="F87" s="20">
        <v>9</v>
      </c>
      <c r="G87" s="20">
        <v>9.5</v>
      </c>
      <c r="I87" s="20">
        <v>9.3000000000000007</v>
      </c>
      <c r="J87" s="187">
        <v>9</v>
      </c>
      <c r="K87" s="20">
        <v>3.5</v>
      </c>
      <c r="L87" s="20">
        <v>4.5</v>
      </c>
      <c r="M87" s="20">
        <v>3.4</v>
      </c>
      <c r="N87" s="20">
        <v>3.5</v>
      </c>
      <c r="O87" s="20">
        <v>3.4</v>
      </c>
      <c r="P87" s="20">
        <v>5.6</v>
      </c>
      <c r="R87" s="20">
        <v>3.3</v>
      </c>
      <c r="S87" s="20">
        <v>4.7</v>
      </c>
      <c r="T87" s="20">
        <v>1.1000000000000001</v>
      </c>
      <c r="U87" s="20">
        <v>1.1000000000000001</v>
      </c>
      <c r="V87" s="20">
        <v>1.1000000000000001</v>
      </c>
      <c r="W87" s="20">
        <v>1.1000000000000001</v>
      </c>
      <c r="X87" s="20">
        <v>0</v>
      </c>
      <c r="Y87" s="20">
        <v>2.2000000000000002</v>
      </c>
      <c r="AA87" s="20">
        <v>1.1000000000000001</v>
      </c>
      <c r="AB87" s="20">
        <v>1.1000000000000001</v>
      </c>
    </row>
    <row r="88" spans="1:28" x14ac:dyDescent="0.2">
      <c r="A88" s="22">
        <v>24807</v>
      </c>
      <c r="B88" s="20">
        <v>8.8000000000000007</v>
      </c>
      <c r="C88" s="20">
        <v>9.3000000000000007</v>
      </c>
      <c r="D88" s="20">
        <v>9</v>
      </c>
      <c r="E88" s="20">
        <v>8.9</v>
      </c>
      <c r="F88" s="20">
        <v>9.1</v>
      </c>
      <c r="G88" s="20">
        <v>9.6</v>
      </c>
      <c r="I88" s="20">
        <v>9.3000000000000007</v>
      </c>
      <c r="J88" s="187">
        <v>9</v>
      </c>
      <c r="K88" s="20">
        <v>3.5</v>
      </c>
      <c r="L88" s="20">
        <v>4.5</v>
      </c>
      <c r="M88" s="20">
        <v>2.2999999999999998</v>
      </c>
      <c r="N88" s="20">
        <v>2.2999999999999998</v>
      </c>
      <c r="O88" s="20">
        <v>3.4</v>
      </c>
      <c r="P88" s="20">
        <v>6.7</v>
      </c>
      <c r="R88" s="20">
        <v>3.3</v>
      </c>
      <c r="S88" s="20">
        <v>3.4</v>
      </c>
      <c r="T88" s="20">
        <v>0</v>
      </c>
      <c r="U88" s="20">
        <v>0</v>
      </c>
      <c r="V88" s="20">
        <v>0</v>
      </c>
      <c r="W88" s="20">
        <v>0</v>
      </c>
      <c r="X88" s="20">
        <v>1.1000000000000001</v>
      </c>
      <c r="Y88" s="20">
        <v>1.1000000000000001</v>
      </c>
      <c r="AA88" s="20">
        <v>0</v>
      </c>
      <c r="AB88" s="20">
        <v>0</v>
      </c>
    </row>
    <row r="89" spans="1:28" x14ac:dyDescent="0.2">
      <c r="A89" s="22">
        <v>24898</v>
      </c>
      <c r="B89" s="20">
        <v>8.9</v>
      </c>
      <c r="C89" s="20">
        <v>9.3000000000000007</v>
      </c>
      <c r="D89" s="20">
        <v>9.1</v>
      </c>
      <c r="E89" s="20">
        <v>8.9</v>
      </c>
      <c r="F89" s="20">
        <v>9.1</v>
      </c>
      <c r="G89" s="20">
        <v>9.5</v>
      </c>
      <c r="I89" s="20">
        <v>9.3000000000000007</v>
      </c>
      <c r="J89" s="187">
        <v>9.1</v>
      </c>
      <c r="K89" s="20">
        <v>3.5</v>
      </c>
      <c r="L89" s="20">
        <v>3.3</v>
      </c>
      <c r="M89" s="20">
        <v>3.4</v>
      </c>
      <c r="N89" s="20">
        <v>2.2999999999999998</v>
      </c>
      <c r="O89" s="20">
        <v>2.2000000000000002</v>
      </c>
      <c r="P89" s="20">
        <v>3.3</v>
      </c>
      <c r="R89" s="20">
        <v>2.2000000000000002</v>
      </c>
      <c r="S89" s="20">
        <v>3.4</v>
      </c>
      <c r="T89" s="20">
        <v>1.1000000000000001</v>
      </c>
      <c r="U89" s="20">
        <v>0</v>
      </c>
      <c r="V89" s="20">
        <v>1.1000000000000001</v>
      </c>
      <c r="W89" s="20">
        <v>0</v>
      </c>
      <c r="X89" s="20">
        <v>0</v>
      </c>
      <c r="Y89" s="20">
        <v>-1</v>
      </c>
      <c r="AA89" s="20">
        <v>0</v>
      </c>
      <c r="AB89" s="20">
        <v>1.1000000000000001</v>
      </c>
    </row>
    <row r="90" spans="1:28" x14ac:dyDescent="0.2">
      <c r="A90" s="22">
        <v>24990</v>
      </c>
      <c r="B90" s="20">
        <v>8.9</v>
      </c>
      <c r="C90" s="20">
        <v>9.4</v>
      </c>
      <c r="D90" s="20">
        <v>9.1</v>
      </c>
      <c r="E90" s="20">
        <v>9</v>
      </c>
      <c r="F90" s="20">
        <v>9.1999999999999993</v>
      </c>
      <c r="G90" s="20">
        <v>9.5</v>
      </c>
      <c r="I90" s="20">
        <v>9.4</v>
      </c>
      <c r="J90" s="187">
        <v>9.1</v>
      </c>
      <c r="K90" s="20">
        <v>2.2999999999999998</v>
      </c>
      <c r="L90" s="20">
        <v>2.2000000000000002</v>
      </c>
      <c r="M90" s="20">
        <v>2.2000000000000002</v>
      </c>
      <c r="N90" s="20">
        <v>2.2999999999999998</v>
      </c>
      <c r="O90" s="20">
        <v>2.2000000000000002</v>
      </c>
      <c r="P90" s="20">
        <v>2.2000000000000002</v>
      </c>
      <c r="R90" s="20">
        <v>2.2000000000000002</v>
      </c>
      <c r="S90" s="20">
        <v>2.2000000000000002</v>
      </c>
      <c r="T90" s="20">
        <v>0</v>
      </c>
      <c r="U90" s="20">
        <v>1.1000000000000001</v>
      </c>
      <c r="V90" s="20">
        <v>0</v>
      </c>
      <c r="W90" s="20">
        <v>1.1000000000000001</v>
      </c>
      <c r="X90" s="20">
        <v>1.1000000000000001</v>
      </c>
      <c r="Y90" s="20">
        <v>0</v>
      </c>
      <c r="AA90" s="20">
        <v>1.1000000000000001</v>
      </c>
      <c r="AB90" s="20">
        <v>0</v>
      </c>
    </row>
    <row r="91" spans="1:28" x14ac:dyDescent="0.2">
      <c r="A91" s="22">
        <v>25082</v>
      </c>
      <c r="B91" s="20">
        <v>8.9</v>
      </c>
      <c r="C91" s="20">
        <v>9.4</v>
      </c>
      <c r="D91" s="20">
        <v>9.1999999999999993</v>
      </c>
      <c r="E91" s="20">
        <v>9</v>
      </c>
      <c r="F91" s="20">
        <v>9.1999999999999993</v>
      </c>
      <c r="G91" s="20">
        <v>9.6</v>
      </c>
      <c r="I91" s="20">
        <v>9.4</v>
      </c>
      <c r="J91" s="187">
        <v>9.1999999999999993</v>
      </c>
      <c r="K91" s="20">
        <v>1.1000000000000001</v>
      </c>
      <c r="L91" s="20">
        <v>1.1000000000000001</v>
      </c>
      <c r="M91" s="20">
        <v>2.2000000000000002</v>
      </c>
      <c r="N91" s="20">
        <v>1.1000000000000001</v>
      </c>
      <c r="O91" s="20">
        <v>2.2000000000000002</v>
      </c>
      <c r="P91" s="20">
        <v>1.1000000000000001</v>
      </c>
      <c r="R91" s="20">
        <v>1.1000000000000001</v>
      </c>
      <c r="S91" s="20">
        <v>2.2000000000000002</v>
      </c>
      <c r="T91" s="20">
        <v>0</v>
      </c>
      <c r="U91" s="20">
        <v>0</v>
      </c>
      <c r="V91" s="20">
        <v>1.1000000000000001</v>
      </c>
      <c r="W91" s="20">
        <v>0</v>
      </c>
      <c r="X91" s="20">
        <v>0</v>
      </c>
      <c r="Y91" s="20">
        <v>1.1000000000000001</v>
      </c>
      <c r="AA91" s="20">
        <v>0</v>
      </c>
      <c r="AB91" s="20">
        <v>1.1000000000000001</v>
      </c>
    </row>
    <row r="92" spans="1:28" x14ac:dyDescent="0.2">
      <c r="A92" s="22">
        <v>25173</v>
      </c>
      <c r="B92" s="20">
        <v>9.1</v>
      </c>
      <c r="C92" s="20">
        <v>9.5</v>
      </c>
      <c r="D92" s="20">
        <v>9.1999999999999993</v>
      </c>
      <c r="E92" s="20">
        <v>9.1</v>
      </c>
      <c r="F92" s="20">
        <v>9.1999999999999993</v>
      </c>
      <c r="G92" s="20">
        <v>9.6999999999999993</v>
      </c>
      <c r="I92" s="20">
        <v>9.4</v>
      </c>
      <c r="J92" s="187">
        <v>9.1999999999999993</v>
      </c>
      <c r="K92" s="20">
        <v>3.4</v>
      </c>
      <c r="L92" s="20">
        <v>2.2000000000000002</v>
      </c>
      <c r="M92" s="20">
        <v>2.2000000000000002</v>
      </c>
      <c r="N92" s="20">
        <v>2.2000000000000002</v>
      </c>
      <c r="O92" s="20">
        <v>1.1000000000000001</v>
      </c>
      <c r="P92" s="20">
        <v>1</v>
      </c>
      <c r="R92" s="20">
        <v>1.1000000000000001</v>
      </c>
      <c r="S92" s="20">
        <v>2.2000000000000002</v>
      </c>
      <c r="T92" s="20">
        <v>2.2000000000000002</v>
      </c>
      <c r="U92" s="20">
        <v>1.1000000000000001</v>
      </c>
      <c r="V92" s="20">
        <v>0</v>
      </c>
      <c r="W92" s="20">
        <v>1.1000000000000001</v>
      </c>
      <c r="X92" s="20">
        <v>0</v>
      </c>
      <c r="Y92" s="20">
        <v>1</v>
      </c>
      <c r="AA92" s="20">
        <v>0</v>
      </c>
      <c r="AB92" s="20">
        <v>0</v>
      </c>
    </row>
    <row r="93" spans="1:28" x14ac:dyDescent="0.2">
      <c r="A93" s="22">
        <v>25263</v>
      </c>
      <c r="B93" s="20">
        <v>9.1999999999999993</v>
      </c>
      <c r="C93" s="20">
        <v>9.5</v>
      </c>
      <c r="D93" s="20">
        <v>9.3000000000000007</v>
      </c>
      <c r="E93" s="20">
        <v>9.1999999999999993</v>
      </c>
      <c r="F93" s="20">
        <v>9.4</v>
      </c>
      <c r="G93" s="20">
        <v>9.6999999999999993</v>
      </c>
      <c r="I93" s="20">
        <v>9.5</v>
      </c>
      <c r="J93" s="187">
        <v>9.4</v>
      </c>
      <c r="K93" s="20">
        <v>3.4</v>
      </c>
      <c r="L93" s="20">
        <v>2.2000000000000002</v>
      </c>
      <c r="M93" s="20">
        <v>2.2000000000000002</v>
      </c>
      <c r="N93" s="20">
        <v>3.4</v>
      </c>
      <c r="O93" s="20">
        <v>3.3</v>
      </c>
      <c r="P93" s="20">
        <v>2.1</v>
      </c>
      <c r="R93" s="20">
        <v>2.2000000000000002</v>
      </c>
      <c r="S93" s="20">
        <v>3.3</v>
      </c>
      <c r="T93" s="20">
        <v>1.1000000000000001</v>
      </c>
      <c r="U93" s="20">
        <v>0</v>
      </c>
      <c r="V93" s="20">
        <v>1.1000000000000001</v>
      </c>
      <c r="W93" s="20">
        <v>1.1000000000000001</v>
      </c>
      <c r="X93" s="20">
        <v>2.2000000000000002</v>
      </c>
      <c r="Y93" s="20">
        <v>0</v>
      </c>
      <c r="AA93" s="20">
        <v>1.1000000000000001</v>
      </c>
      <c r="AB93" s="20">
        <v>2.2000000000000002</v>
      </c>
    </row>
    <row r="94" spans="1:28" x14ac:dyDescent="0.2">
      <c r="A94" s="22">
        <v>25355</v>
      </c>
      <c r="B94" s="20">
        <v>9.1999999999999993</v>
      </c>
      <c r="C94" s="20">
        <v>9.6</v>
      </c>
      <c r="D94" s="20">
        <v>9.4</v>
      </c>
      <c r="E94" s="20">
        <v>9.1999999999999993</v>
      </c>
      <c r="F94" s="20">
        <v>9.5</v>
      </c>
      <c r="G94" s="20">
        <v>9.8000000000000007</v>
      </c>
      <c r="I94" s="20">
        <v>9.5</v>
      </c>
      <c r="J94" s="187">
        <v>9.4</v>
      </c>
      <c r="K94" s="20">
        <v>3.4</v>
      </c>
      <c r="L94" s="20">
        <v>2.1</v>
      </c>
      <c r="M94" s="20">
        <v>3.3</v>
      </c>
      <c r="N94" s="20">
        <v>2.2000000000000002</v>
      </c>
      <c r="O94" s="20">
        <v>3.3</v>
      </c>
      <c r="P94" s="20">
        <v>3.2</v>
      </c>
      <c r="R94" s="20">
        <v>1.1000000000000001</v>
      </c>
      <c r="S94" s="20">
        <v>3.3</v>
      </c>
      <c r="T94" s="20">
        <v>0</v>
      </c>
      <c r="U94" s="20">
        <v>1.1000000000000001</v>
      </c>
      <c r="V94" s="20">
        <v>1.1000000000000001</v>
      </c>
      <c r="W94" s="20">
        <v>0</v>
      </c>
      <c r="X94" s="20">
        <v>1.1000000000000001</v>
      </c>
      <c r="Y94" s="20">
        <v>1</v>
      </c>
      <c r="AA94" s="20">
        <v>0</v>
      </c>
      <c r="AB94" s="20">
        <v>0</v>
      </c>
    </row>
    <row r="95" spans="1:28" x14ac:dyDescent="0.2">
      <c r="A95" s="22">
        <v>25447</v>
      </c>
      <c r="B95" s="20">
        <v>9.3000000000000007</v>
      </c>
      <c r="C95" s="20">
        <v>9.6999999999999993</v>
      </c>
      <c r="D95" s="20">
        <v>9.4</v>
      </c>
      <c r="E95" s="20">
        <v>9.3000000000000007</v>
      </c>
      <c r="F95" s="20">
        <v>9.5</v>
      </c>
      <c r="G95" s="20">
        <v>9.8000000000000007</v>
      </c>
      <c r="I95" s="20">
        <v>9.6</v>
      </c>
      <c r="J95" s="187">
        <v>9.5</v>
      </c>
      <c r="K95" s="20">
        <v>4.5</v>
      </c>
      <c r="L95" s="20">
        <v>3.2</v>
      </c>
      <c r="M95" s="20">
        <v>2.2000000000000002</v>
      </c>
      <c r="N95" s="20">
        <v>3.3</v>
      </c>
      <c r="O95" s="20">
        <v>3.3</v>
      </c>
      <c r="P95" s="20">
        <v>2.1</v>
      </c>
      <c r="R95" s="20">
        <v>2.1</v>
      </c>
      <c r="S95" s="20">
        <v>3.3</v>
      </c>
      <c r="T95" s="20">
        <v>1.1000000000000001</v>
      </c>
      <c r="U95" s="20">
        <v>1</v>
      </c>
      <c r="V95" s="20">
        <v>0</v>
      </c>
      <c r="W95" s="20">
        <v>1.1000000000000001</v>
      </c>
      <c r="X95" s="20">
        <v>0</v>
      </c>
      <c r="Y95" s="20">
        <v>0</v>
      </c>
      <c r="AA95" s="20">
        <v>1.1000000000000001</v>
      </c>
      <c r="AB95" s="20">
        <v>1.1000000000000001</v>
      </c>
    </row>
    <row r="96" spans="1:28" x14ac:dyDescent="0.2">
      <c r="A96" s="22">
        <v>25538</v>
      </c>
      <c r="B96" s="20">
        <v>9.4</v>
      </c>
      <c r="C96" s="20">
        <v>9.6999999999999993</v>
      </c>
      <c r="D96" s="20">
        <v>9.5</v>
      </c>
      <c r="E96" s="20">
        <v>9.3000000000000007</v>
      </c>
      <c r="F96" s="20">
        <v>9.6</v>
      </c>
      <c r="G96" s="20">
        <v>9.9</v>
      </c>
      <c r="I96" s="20">
        <v>9.6999999999999993</v>
      </c>
      <c r="J96" s="187">
        <v>9.5</v>
      </c>
      <c r="K96" s="20">
        <v>3.3</v>
      </c>
      <c r="L96" s="20">
        <v>2.1</v>
      </c>
      <c r="M96" s="20">
        <v>3.3</v>
      </c>
      <c r="N96" s="20">
        <v>2.2000000000000002</v>
      </c>
      <c r="O96" s="20">
        <v>4.3</v>
      </c>
      <c r="P96" s="20">
        <v>2.1</v>
      </c>
      <c r="R96" s="20">
        <v>3.2</v>
      </c>
      <c r="S96" s="20">
        <v>3.3</v>
      </c>
      <c r="T96" s="20">
        <v>1.1000000000000001</v>
      </c>
      <c r="U96" s="20">
        <v>0</v>
      </c>
      <c r="V96" s="20">
        <v>1.1000000000000001</v>
      </c>
      <c r="W96" s="20">
        <v>0</v>
      </c>
      <c r="X96" s="20">
        <v>1.1000000000000001</v>
      </c>
      <c r="Y96" s="20">
        <v>1</v>
      </c>
      <c r="AA96" s="20">
        <v>1</v>
      </c>
      <c r="AB96" s="20">
        <v>0</v>
      </c>
    </row>
    <row r="97" spans="1:28" x14ac:dyDescent="0.2">
      <c r="A97" s="22">
        <v>25628</v>
      </c>
      <c r="B97" s="20">
        <v>9.5</v>
      </c>
      <c r="C97" s="20">
        <v>9.8000000000000007</v>
      </c>
      <c r="D97" s="20">
        <v>9.6</v>
      </c>
      <c r="E97" s="20">
        <v>9.4</v>
      </c>
      <c r="F97" s="20">
        <v>9.6999999999999993</v>
      </c>
      <c r="G97" s="20">
        <v>9.9</v>
      </c>
      <c r="I97" s="20">
        <v>9.8000000000000007</v>
      </c>
      <c r="J97" s="187">
        <v>9.6</v>
      </c>
      <c r="K97" s="20">
        <v>3.3</v>
      </c>
      <c r="L97" s="20">
        <v>3.2</v>
      </c>
      <c r="M97" s="20">
        <v>3.2</v>
      </c>
      <c r="N97" s="20">
        <v>2.2000000000000002</v>
      </c>
      <c r="O97" s="20">
        <v>3.2</v>
      </c>
      <c r="P97" s="20">
        <v>2.1</v>
      </c>
      <c r="R97" s="20">
        <v>3.2</v>
      </c>
      <c r="S97" s="20">
        <v>2.1</v>
      </c>
      <c r="T97" s="20">
        <v>1.1000000000000001</v>
      </c>
      <c r="U97" s="20">
        <v>1</v>
      </c>
      <c r="V97" s="20">
        <v>1.1000000000000001</v>
      </c>
      <c r="W97" s="20">
        <v>1.1000000000000001</v>
      </c>
      <c r="X97" s="20">
        <v>1</v>
      </c>
      <c r="Y97" s="20">
        <v>0</v>
      </c>
      <c r="AA97" s="20">
        <v>1</v>
      </c>
      <c r="AB97" s="20">
        <v>1.1000000000000001</v>
      </c>
    </row>
    <row r="98" spans="1:28" x14ac:dyDescent="0.2">
      <c r="A98" s="22">
        <v>25720</v>
      </c>
      <c r="B98" s="20">
        <v>9.6999999999999993</v>
      </c>
      <c r="C98" s="20">
        <v>9.9</v>
      </c>
      <c r="D98" s="20">
        <v>9.6</v>
      </c>
      <c r="E98" s="20">
        <v>9.5</v>
      </c>
      <c r="F98" s="20">
        <v>9.9</v>
      </c>
      <c r="G98" s="20">
        <v>10</v>
      </c>
      <c r="I98" s="20">
        <v>9.9</v>
      </c>
      <c r="J98" s="187">
        <v>9.6999999999999993</v>
      </c>
      <c r="K98" s="20">
        <v>5.4</v>
      </c>
      <c r="L98" s="20">
        <v>3.1</v>
      </c>
      <c r="M98" s="20">
        <v>2.1</v>
      </c>
      <c r="N98" s="20">
        <v>3.3</v>
      </c>
      <c r="O98" s="20">
        <v>4.2</v>
      </c>
      <c r="P98" s="20">
        <v>2</v>
      </c>
      <c r="R98" s="20">
        <v>4.2</v>
      </c>
      <c r="S98" s="20">
        <v>3.2</v>
      </c>
      <c r="T98" s="20">
        <v>2.1</v>
      </c>
      <c r="U98" s="20">
        <v>1</v>
      </c>
      <c r="V98" s="20">
        <v>0</v>
      </c>
      <c r="W98" s="20">
        <v>1.1000000000000001</v>
      </c>
      <c r="X98" s="20">
        <v>2.1</v>
      </c>
      <c r="Y98" s="20">
        <v>1</v>
      </c>
      <c r="AA98" s="20">
        <v>1</v>
      </c>
      <c r="AB98" s="20">
        <v>1</v>
      </c>
    </row>
    <row r="99" spans="1:28" x14ac:dyDescent="0.2">
      <c r="A99" s="22">
        <v>25812</v>
      </c>
      <c r="B99" s="20">
        <v>9.6999999999999993</v>
      </c>
      <c r="C99" s="20">
        <v>9.9</v>
      </c>
      <c r="D99" s="20">
        <v>9.6999999999999993</v>
      </c>
      <c r="E99" s="20">
        <v>9.5</v>
      </c>
      <c r="F99" s="20">
        <v>9.9</v>
      </c>
      <c r="G99" s="20">
        <v>10</v>
      </c>
      <c r="I99" s="20">
        <v>10</v>
      </c>
      <c r="J99" s="187">
        <v>9.8000000000000007</v>
      </c>
      <c r="K99" s="20">
        <v>4.3</v>
      </c>
      <c r="L99" s="20">
        <v>2.1</v>
      </c>
      <c r="M99" s="20">
        <v>3.2</v>
      </c>
      <c r="N99" s="20">
        <v>2.2000000000000002</v>
      </c>
      <c r="O99" s="20">
        <v>4.2</v>
      </c>
      <c r="P99" s="20">
        <v>2</v>
      </c>
      <c r="R99" s="20">
        <v>4.2</v>
      </c>
      <c r="S99" s="20">
        <v>3.2</v>
      </c>
      <c r="T99" s="20">
        <v>0</v>
      </c>
      <c r="U99" s="20">
        <v>0</v>
      </c>
      <c r="V99" s="20">
        <v>1</v>
      </c>
      <c r="W99" s="20">
        <v>0</v>
      </c>
      <c r="X99" s="20">
        <v>0</v>
      </c>
      <c r="Y99" s="20">
        <v>0</v>
      </c>
      <c r="AA99" s="20">
        <v>1</v>
      </c>
      <c r="AB99" s="20">
        <v>1</v>
      </c>
    </row>
    <row r="100" spans="1:28" x14ac:dyDescent="0.2">
      <c r="A100" s="22">
        <v>25903</v>
      </c>
      <c r="B100" s="20">
        <v>9.9</v>
      </c>
      <c r="C100" s="20">
        <v>10.1</v>
      </c>
      <c r="D100" s="20">
        <v>10</v>
      </c>
      <c r="E100" s="20">
        <v>9.6999999999999993</v>
      </c>
      <c r="F100" s="20">
        <v>10</v>
      </c>
      <c r="G100" s="20">
        <v>10.3</v>
      </c>
      <c r="I100" s="20">
        <v>10.3</v>
      </c>
      <c r="J100" s="187">
        <v>10</v>
      </c>
      <c r="K100" s="20">
        <v>5.3</v>
      </c>
      <c r="L100" s="20">
        <v>4.0999999999999996</v>
      </c>
      <c r="M100" s="20">
        <v>5.3</v>
      </c>
      <c r="N100" s="20">
        <v>4.3</v>
      </c>
      <c r="O100" s="20">
        <v>4.2</v>
      </c>
      <c r="P100" s="20">
        <v>4</v>
      </c>
      <c r="R100" s="20">
        <v>6.2</v>
      </c>
      <c r="S100" s="20">
        <v>5.3</v>
      </c>
      <c r="T100" s="20">
        <v>2.1</v>
      </c>
      <c r="U100" s="20">
        <v>2</v>
      </c>
      <c r="V100" s="20">
        <v>3.1</v>
      </c>
      <c r="W100" s="20">
        <v>2.1</v>
      </c>
      <c r="X100" s="20">
        <v>1</v>
      </c>
      <c r="Y100" s="20">
        <v>3</v>
      </c>
      <c r="AA100" s="20">
        <v>3</v>
      </c>
      <c r="AB100" s="20">
        <v>2</v>
      </c>
    </row>
    <row r="101" spans="1:28" x14ac:dyDescent="0.2">
      <c r="A101" s="22">
        <v>25993</v>
      </c>
      <c r="B101" s="20">
        <v>10.1</v>
      </c>
      <c r="C101" s="20">
        <v>10.199999999999999</v>
      </c>
      <c r="D101" s="20">
        <v>10.1</v>
      </c>
      <c r="E101" s="20">
        <v>9.8000000000000007</v>
      </c>
      <c r="F101" s="20">
        <v>10.1</v>
      </c>
      <c r="G101" s="20">
        <v>10.3</v>
      </c>
      <c r="I101" s="20">
        <v>10.3</v>
      </c>
      <c r="J101" s="187">
        <v>10.1</v>
      </c>
      <c r="K101" s="20">
        <v>6.3</v>
      </c>
      <c r="L101" s="20">
        <v>4.0999999999999996</v>
      </c>
      <c r="M101" s="20">
        <v>5.2</v>
      </c>
      <c r="N101" s="20">
        <v>4.3</v>
      </c>
      <c r="O101" s="20">
        <v>4.0999999999999996</v>
      </c>
      <c r="P101" s="20">
        <v>4</v>
      </c>
      <c r="R101" s="20">
        <v>5.0999999999999996</v>
      </c>
      <c r="S101" s="20">
        <v>5.2</v>
      </c>
      <c r="T101" s="20">
        <v>2</v>
      </c>
      <c r="U101" s="20">
        <v>1</v>
      </c>
      <c r="V101" s="20">
        <v>1</v>
      </c>
      <c r="W101" s="20">
        <v>1</v>
      </c>
      <c r="X101" s="20">
        <v>1</v>
      </c>
      <c r="Y101" s="20">
        <v>0</v>
      </c>
      <c r="AA101" s="20">
        <v>0</v>
      </c>
      <c r="AB101" s="20">
        <v>1</v>
      </c>
    </row>
    <row r="102" spans="1:28" x14ac:dyDescent="0.2">
      <c r="A102" s="22">
        <v>26085</v>
      </c>
      <c r="B102" s="20">
        <v>10.3</v>
      </c>
      <c r="C102" s="20">
        <v>10.3</v>
      </c>
      <c r="D102" s="20">
        <v>10.3</v>
      </c>
      <c r="E102" s="20">
        <v>10</v>
      </c>
      <c r="F102" s="20">
        <v>10.3</v>
      </c>
      <c r="G102" s="20">
        <v>10.5</v>
      </c>
      <c r="I102" s="20">
        <v>10.5</v>
      </c>
      <c r="J102" s="187">
        <v>10.199999999999999</v>
      </c>
      <c r="K102" s="20">
        <v>6.2</v>
      </c>
      <c r="L102" s="20">
        <v>4</v>
      </c>
      <c r="M102" s="20">
        <v>7.3</v>
      </c>
      <c r="N102" s="20">
        <v>5.3</v>
      </c>
      <c r="O102" s="20">
        <v>4</v>
      </c>
      <c r="P102" s="20">
        <v>5</v>
      </c>
      <c r="R102" s="20">
        <v>6.1</v>
      </c>
      <c r="S102" s="20">
        <v>5.2</v>
      </c>
      <c r="T102" s="20">
        <v>2</v>
      </c>
      <c r="U102" s="20">
        <v>1</v>
      </c>
      <c r="V102" s="20">
        <v>2</v>
      </c>
      <c r="W102" s="20">
        <v>2</v>
      </c>
      <c r="X102" s="20">
        <v>2</v>
      </c>
      <c r="Y102" s="20">
        <v>1.9</v>
      </c>
      <c r="AA102" s="20">
        <v>1.9</v>
      </c>
      <c r="AB102" s="20">
        <v>1</v>
      </c>
    </row>
    <row r="103" spans="1:28" x14ac:dyDescent="0.2">
      <c r="A103" s="22">
        <v>26177</v>
      </c>
      <c r="B103" s="20">
        <v>10.6</v>
      </c>
      <c r="C103" s="20">
        <v>10.5</v>
      </c>
      <c r="D103" s="20">
        <v>10.4</v>
      </c>
      <c r="E103" s="20">
        <v>10.1</v>
      </c>
      <c r="F103" s="20">
        <v>10.4</v>
      </c>
      <c r="G103" s="20">
        <v>10.7</v>
      </c>
      <c r="I103" s="20">
        <v>10.7</v>
      </c>
      <c r="J103" s="187">
        <v>10.5</v>
      </c>
      <c r="K103" s="20">
        <v>9.3000000000000007</v>
      </c>
      <c r="L103" s="20">
        <v>6.1</v>
      </c>
      <c r="M103" s="20">
        <v>7.2</v>
      </c>
      <c r="N103" s="20">
        <v>6.3</v>
      </c>
      <c r="O103" s="20">
        <v>5.0999999999999996</v>
      </c>
      <c r="P103" s="20">
        <v>7</v>
      </c>
      <c r="R103" s="20">
        <v>7</v>
      </c>
      <c r="S103" s="20">
        <v>7.1</v>
      </c>
      <c r="T103" s="20">
        <v>2.9</v>
      </c>
      <c r="U103" s="20">
        <v>1.9</v>
      </c>
      <c r="V103" s="20">
        <v>1</v>
      </c>
      <c r="W103" s="20">
        <v>1</v>
      </c>
      <c r="X103" s="20">
        <v>1</v>
      </c>
      <c r="Y103" s="20">
        <v>1.9</v>
      </c>
      <c r="AA103" s="20">
        <v>1.9</v>
      </c>
      <c r="AB103" s="20">
        <v>2.9</v>
      </c>
    </row>
    <row r="104" spans="1:28" x14ac:dyDescent="0.2">
      <c r="A104" s="22">
        <v>26268</v>
      </c>
      <c r="B104" s="20">
        <v>10.8</v>
      </c>
      <c r="C104" s="20">
        <v>10.7</v>
      </c>
      <c r="D104" s="20">
        <v>10.7</v>
      </c>
      <c r="E104" s="20">
        <v>10.3</v>
      </c>
      <c r="F104" s="20">
        <v>10.6</v>
      </c>
      <c r="G104" s="20">
        <v>11</v>
      </c>
      <c r="I104" s="20">
        <v>10.8</v>
      </c>
      <c r="J104" s="187">
        <v>10.7</v>
      </c>
      <c r="K104" s="20">
        <v>9.1</v>
      </c>
      <c r="L104" s="20">
        <v>5.9</v>
      </c>
      <c r="M104" s="20">
        <v>7</v>
      </c>
      <c r="N104" s="20">
        <v>6.2</v>
      </c>
      <c r="O104" s="20">
        <v>6</v>
      </c>
      <c r="P104" s="20">
        <v>6.8</v>
      </c>
      <c r="R104" s="20">
        <v>4.9000000000000004</v>
      </c>
      <c r="S104" s="20">
        <v>7</v>
      </c>
      <c r="T104" s="20">
        <v>1.9</v>
      </c>
      <c r="U104" s="20">
        <v>1.9</v>
      </c>
      <c r="V104" s="20">
        <v>2.9</v>
      </c>
      <c r="W104" s="20">
        <v>2</v>
      </c>
      <c r="X104" s="20">
        <v>1.9</v>
      </c>
      <c r="Y104" s="20">
        <v>2.8</v>
      </c>
      <c r="AA104" s="20">
        <v>0.9</v>
      </c>
      <c r="AB104" s="20">
        <v>1.9</v>
      </c>
    </row>
    <row r="105" spans="1:28" x14ac:dyDescent="0.2">
      <c r="A105" s="22">
        <v>26359</v>
      </c>
      <c r="B105" s="20">
        <v>10.9</v>
      </c>
      <c r="C105" s="20">
        <v>10.8</v>
      </c>
      <c r="D105" s="20">
        <v>10.8</v>
      </c>
      <c r="E105" s="20">
        <v>10.4</v>
      </c>
      <c r="F105" s="20">
        <v>10.8</v>
      </c>
      <c r="G105" s="20">
        <v>11.1</v>
      </c>
      <c r="I105" s="20">
        <v>10.9</v>
      </c>
      <c r="J105" s="187">
        <v>10.8</v>
      </c>
      <c r="K105" s="20">
        <v>7.9</v>
      </c>
      <c r="L105" s="20">
        <v>5.9</v>
      </c>
      <c r="M105" s="20">
        <v>6.9</v>
      </c>
      <c r="N105" s="20">
        <v>6.1</v>
      </c>
      <c r="O105" s="20">
        <v>6.9</v>
      </c>
      <c r="P105" s="20">
        <v>7.8</v>
      </c>
      <c r="R105" s="20">
        <v>5.8</v>
      </c>
      <c r="S105" s="20">
        <v>6.9</v>
      </c>
      <c r="T105" s="20">
        <v>0.9</v>
      </c>
      <c r="U105" s="20">
        <v>0.9</v>
      </c>
      <c r="V105" s="20">
        <v>0.9</v>
      </c>
      <c r="W105" s="20">
        <v>1</v>
      </c>
      <c r="X105" s="20">
        <v>1.9</v>
      </c>
      <c r="Y105" s="20">
        <v>0.9</v>
      </c>
      <c r="AA105" s="20">
        <v>0.9</v>
      </c>
      <c r="AB105" s="20">
        <v>0.9</v>
      </c>
    </row>
    <row r="106" spans="1:28" x14ac:dyDescent="0.2">
      <c r="A106" s="22">
        <v>26451</v>
      </c>
      <c r="B106" s="20">
        <v>11.1</v>
      </c>
      <c r="C106" s="20">
        <v>11</v>
      </c>
      <c r="D106" s="20">
        <v>10.9</v>
      </c>
      <c r="E106" s="20">
        <v>10.5</v>
      </c>
      <c r="F106" s="20">
        <v>10.9</v>
      </c>
      <c r="G106" s="20">
        <v>11.1</v>
      </c>
      <c r="I106" s="20">
        <v>11</v>
      </c>
      <c r="J106" s="187">
        <v>10.9</v>
      </c>
      <c r="K106" s="20">
        <v>7.8</v>
      </c>
      <c r="L106" s="20">
        <v>6.8</v>
      </c>
      <c r="M106" s="20">
        <v>5.8</v>
      </c>
      <c r="N106" s="20">
        <v>5</v>
      </c>
      <c r="O106" s="20">
        <v>5.8</v>
      </c>
      <c r="P106" s="20">
        <v>5.7</v>
      </c>
      <c r="R106" s="20">
        <v>4.8</v>
      </c>
      <c r="S106" s="20">
        <v>6.9</v>
      </c>
      <c r="T106" s="20">
        <v>1.8</v>
      </c>
      <c r="U106" s="20">
        <v>1.9</v>
      </c>
      <c r="V106" s="20">
        <v>0.9</v>
      </c>
      <c r="W106" s="20">
        <v>1</v>
      </c>
      <c r="X106" s="20">
        <v>0.9</v>
      </c>
      <c r="Y106" s="20">
        <v>0</v>
      </c>
      <c r="AA106" s="20">
        <v>0.9</v>
      </c>
      <c r="AB106" s="20">
        <v>0.9</v>
      </c>
    </row>
    <row r="107" spans="1:28" x14ac:dyDescent="0.2">
      <c r="A107" s="22">
        <v>26543</v>
      </c>
      <c r="B107" s="20">
        <v>11.2</v>
      </c>
      <c r="C107" s="20">
        <v>11.1</v>
      </c>
      <c r="D107" s="20">
        <v>10.9</v>
      </c>
      <c r="E107" s="20">
        <v>10.7</v>
      </c>
      <c r="F107" s="20">
        <v>11</v>
      </c>
      <c r="G107" s="20">
        <v>11.3</v>
      </c>
      <c r="I107" s="20">
        <v>11.2</v>
      </c>
      <c r="J107" s="187">
        <v>11.1</v>
      </c>
      <c r="K107" s="20">
        <v>5.7</v>
      </c>
      <c r="L107" s="20">
        <v>5.7</v>
      </c>
      <c r="M107" s="20">
        <v>4.8</v>
      </c>
      <c r="N107" s="20">
        <v>5.9</v>
      </c>
      <c r="O107" s="20">
        <v>5.8</v>
      </c>
      <c r="P107" s="20">
        <v>5.6</v>
      </c>
      <c r="R107" s="20">
        <v>4.7</v>
      </c>
      <c r="S107" s="20">
        <v>5.7</v>
      </c>
      <c r="T107" s="20">
        <v>0.9</v>
      </c>
      <c r="U107" s="20">
        <v>0.9</v>
      </c>
      <c r="V107" s="20">
        <v>0</v>
      </c>
      <c r="W107" s="20">
        <v>1.9</v>
      </c>
      <c r="X107" s="20">
        <v>0.9</v>
      </c>
      <c r="Y107" s="20">
        <v>1.8</v>
      </c>
      <c r="AA107" s="20">
        <v>1.8</v>
      </c>
      <c r="AB107" s="20">
        <v>1.8</v>
      </c>
    </row>
    <row r="108" spans="1:28" x14ac:dyDescent="0.2">
      <c r="A108" s="22">
        <v>26634</v>
      </c>
      <c r="B108" s="20">
        <v>11.3</v>
      </c>
      <c r="C108" s="20">
        <v>11.2</v>
      </c>
      <c r="D108" s="20">
        <v>11.1</v>
      </c>
      <c r="E108" s="20">
        <v>10.8</v>
      </c>
      <c r="F108" s="20">
        <v>11.1</v>
      </c>
      <c r="G108" s="20">
        <v>11.4</v>
      </c>
      <c r="I108" s="20">
        <v>11.3</v>
      </c>
      <c r="J108" s="187">
        <v>11.2</v>
      </c>
      <c r="K108" s="20">
        <v>4.5999999999999996</v>
      </c>
      <c r="L108" s="20">
        <v>4.7</v>
      </c>
      <c r="M108" s="20">
        <v>3.7</v>
      </c>
      <c r="N108" s="20">
        <v>4.9000000000000004</v>
      </c>
      <c r="O108" s="20">
        <v>4.7</v>
      </c>
      <c r="P108" s="20">
        <v>3.6</v>
      </c>
      <c r="R108" s="20">
        <v>4.5999999999999996</v>
      </c>
      <c r="S108" s="20">
        <v>4.7</v>
      </c>
      <c r="T108" s="20">
        <v>0.9</v>
      </c>
      <c r="U108" s="20">
        <v>0.9</v>
      </c>
      <c r="V108" s="20">
        <v>1.8</v>
      </c>
      <c r="W108" s="20">
        <v>0.9</v>
      </c>
      <c r="X108" s="20">
        <v>0.9</v>
      </c>
      <c r="Y108" s="20">
        <v>0.9</v>
      </c>
      <c r="AA108" s="20">
        <v>0.9</v>
      </c>
      <c r="AB108" s="20">
        <v>0.9</v>
      </c>
    </row>
    <row r="109" spans="1:28" x14ac:dyDescent="0.2">
      <c r="A109" s="22">
        <v>26724</v>
      </c>
      <c r="B109" s="20">
        <v>11.6</v>
      </c>
      <c r="C109" s="20">
        <v>11.5</v>
      </c>
      <c r="D109" s="20">
        <v>11.4</v>
      </c>
      <c r="E109" s="20">
        <v>11</v>
      </c>
      <c r="F109" s="20">
        <v>11.3</v>
      </c>
      <c r="G109" s="20">
        <v>11.6</v>
      </c>
      <c r="I109" s="20">
        <v>11.5</v>
      </c>
      <c r="J109" s="187">
        <v>11.4</v>
      </c>
      <c r="K109" s="20">
        <v>6.4</v>
      </c>
      <c r="L109" s="20">
        <v>6.5</v>
      </c>
      <c r="M109" s="20">
        <v>5.6</v>
      </c>
      <c r="N109" s="20">
        <v>5.8</v>
      </c>
      <c r="O109" s="20">
        <v>4.5999999999999996</v>
      </c>
      <c r="P109" s="20">
        <v>4.5</v>
      </c>
      <c r="R109" s="20">
        <v>5.5</v>
      </c>
      <c r="S109" s="20">
        <v>5.6</v>
      </c>
      <c r="T109" s="20">
        <v>2.7</v>
      </c>
      <c r="U109" s="20">
        <v>2.7</v>
      </c>
      <c r="V109" s="20">
        <v>2.7</v>
      </c>
      <c r="W109" s="20">
        <v>1.9</v>
      </c>
      <c r="X109" s="20">
        <v>1.8</v>
      </c>
      <c r="Y109" s="20">
        <v>1.8</v>
      </c>
      <c r="AA109" s="20">
        <v>1.8</v>
      </c>
      <c r="AB109" s="20">
        <v>1.8</v>
      </c>
    </row>
    <row r="110" spans="1:28" x14ac:dyDescent="0.2">
      <c r="A110" s="22">
        <v>26816</v>
      </c>
      <c r="B110" s="20">
        <v>11.9</v>
      </c>
      <c r="C110" s="20">
        <v>11.9</v>
      </c>
      <c r="D110" s="20">
        <v>11.7</v>
      </c>
      <c r="E110" s="20">
        <v>11.4</v>
      </c>
      <c r="F110" s="20">
        <v>11.6</v>
      </c>
      <c r="G110" s="20">
        <v>12</v>
      </c>
      <c r="I110" s="20">
        <v>11.9</v>
      </c>
      <c r="J110" s="187">
        <v>11.8</v>
      </c>
      <c r="K110" s="20">
        <v>7.2</v>
      </c>
      <c r="L110" s="20">
        <v>8.1999999999999993</v>
      </c>
      <c r="M110" s="20">
        <v>7.3</v>
      </c>
      <c r="N110" s="20">
        <v>8.6</v>
      </c>
      <c r="O110" s="20">
        <v>6.4</v>
      </c>
      <c r="P110" s="20">
        <v>8.1</v>
      </c>
      <c r="R110" s="20">
        <v>8.1999999999999993</v>
      </c>
      <c r="S110" s="20">
        <v>8.3000000000000007</v>
      </c>
      <c r="T110" s="20">
        <v>2.6</v>
      </c>
      <c r="U110" s="20">
        <v>3.5</v>
      </c>
      <c r="V110" s="20">
        <v>2.6</v>
      </c>
      <c r="W110" s="20">
        <v>3.6</v>
      </c>
      <c r="X110" s="20">
        <v>2.7</v>
      </c>
      <c r="Y110" s="20">
        <v>3.4</v>
      </c>
      <c r="AA110" s="20">
        <v>3.5</v>
      </c>
      <c r="AB110" s="20">
        <v>3.5</v>
      </c>
    </row>
    <row r="111" spans="1:28" x14ac:dyDescent="0.2">
      <c r="A111" s="22">
        <v>26908</v>
      </c>
      <c r="B111" s="20">
        <v>12.3</v>
      </c>
      <c r="C111" s="20">
        <v>12.3</v>
      </c>
      <c r="D111" s="20">
        <v>12.2</v>
      </c>
      <c r="E111" s="20">
        <v>11.8</v>
      </c>
      <c r="F111" s="20">
        <v>11.9</v>
      </c>
      <c r="G111" s="20">
        <v>12.3</v>
      </c>
      <c r="I111" s="20">
        <v>12.3</v>
      </c>
      <c r="J111" s="187">
        <v>12.2</v>
      </c>
      <c r="K111" s="20">
        <v>9.8000000000000007</v>
      </c>
      <c r="L111" s="20">
        <v>10.8</v>
      </c>
      <c r="M111" s="20">
        <v>11.9</v>
      </c>
      <c r="N111" s="20">
        <v>10.3</v>
      </c>
      <c r="O111" s="20">
        <v>8.1999999999999993</v>
      </c>
      <c r="P111" s="20">
        <v>8.8000000000000007</v>
      </c>
      <c r="R111" s="20">
        <v>9.8000000000000007</v>
      </c>
      <c r="S111" s="20">
        <v>9.9</v>
      </c>
      <c r="T111" s="20">
        <v>3.4</v>
      </c>
      <c r="U111" s="20">
        <v>3.4</v>
      </c>
      <c r="V111" s="20">
        <v>4.3</v>
      </c>
      <c r="W111" s="20">
        <v>3.5</v>
      </c>
      <c r="X111" s="20">
        <v>2.6</v>
      </c>
      <c r="Y111" s="20">
        <v>2.5</v>
      </c>
      <c r="AA111" s="20">
        <v>3.4</v>
      </c>
      <c r="AB111" s="20">
        <v>3.4</v>
      </c>
    </row>
    <row r="112" spans="1:28" x14ac:dyDescent="0.2">
      <c r="A112" s="22">
        <v>26999</v>
      </c>
      <c r="B112" s="20">
        <v>12.8</v>
      </c>
      <c r="C112" s="20">
        <v>12.7</v>
      </c>
      <c r="D112" s="20">
        <v>12.7</v>
      </c>
      <c r="E112" s="20">
        <v>12.3</v>
      </c>
      <c r="F112" s="20">
        <v>12.3</v>
      </c>
      <c r="G112" s="20">
        <v>12.9</v>
      </c>
      <c r="I112" s="20">
        <v>12.8</v>
      </c>
      <c r="J112" s="187">
        <v>12.6</v>
      </c>
      <c r="K112" s="20">
        <v>13.3</v>
      </c>
      <c r="L112" s="20">
        <v>13.4</v>
      </c>
      <c r="M112" s="20">
        <v>14.4</v>
      </c>
      <c r="N112" s="20">
        <v>13.9</v>
      </c>
      <c r="O112" s="20">
        <v>10.8</v>
      </c>
      <c r="P112" s="20">
        <v>13.2</v>
      </c>
      <c r="R112" s="20">
        <v>13.3</v>
      </c>
      <c r="S112" s="20">
        <v>12.5</v>
      </c>
      <c r="T112" s="20">
        <v>4.0999999999999996</v>
      </c>
      <c r="U112" s="20">
        <v>3.3</v>
      </c>
      <c r="V112" s="20">
        <v>4.0999999999999996</v>
      </c>
      <c r="W112" s="20">
        <v>4.2</v>
      </c>
      <c r="X112" s="20">
        <v>3.4</v>
      </c>
      <c r="Y112" s="20">
        <v>4.9000000000000004</v>
      </c>
      <c r="AA112" s="20">
        <v>4.0999999999999996</v>
      </c>
      <c r="AB112" s="20">
        <v>3.3</v>
      </c>
    </row>
    <row r="113" spans="1:28" x14ac:dyDescent="0.2">
      <c r="A113" s="22">
        <v>27089</v>
      </c>
      <c r="B113" s="20">
        <v>13.1</v>
      </c>
      <c r="C113" s="20">
        <v>13</v>
      </c>
      <c r="D113" s="20">
        <v>13</v>
      </c>
      <c r="E113" s="20">
        <v>12.6</v>
      </c>
      <c r="F113" s="20">
        <v>12.5</v>
      </c>
      <c r="G113" s="20">
        <v>13.1</v>
      </c>
      <c r="I113" s="20">
        <v>13.2</v>
      </c>
      <c r="J113" s="187">
        <v>13</v>
      </c>
      <c r="K113" s="20">
        <v>12.9</v>
      </c>
      <c r="L113" s="20">
        <v>13</v>
      </c>
      <c r="M113" s="20">
        <v>14</v>
      </c>
      <c r="N113" s="20">
        <v>14.5</v>
      </c>
      <c r="O113" s="20">
        <v>10.6</v>
      </c>
      <c r="P113" s="20">
        <v>12.9</v>
      </c>
      <c r="R113" s="20">
        <v>14.8</v>
      </c>
      <c r="S113" s="20">
        <v>14</v>
      </c>
      <c r="T113" s="20">
        <v>2.2999999999999998</v>
      </c>
      <c r="U113" s="20">
        <v>2.4</v>
      </c>
      <c r="V113" s="20">
        <v>2.4</v>
      </c>
      <c r="W113" s="20">
        <v>2.4</v>
      </c>
      <c r="X113" s="20">
        <v>1.6</v>
      </c>
      <c r="Y113" s="20">
        <v>1.6</v>
      </c>
      <c r="AA113" s="20">
        <v>3.1</v>
      </c>
      <c r="AB113" s="20">
        <v>3.2</v>
      </c>
    </row>
    <row r="114" spans="1:28" x14ac:dyDescent="0.2">
      <c r="A114" s="22">
        <v>27181</v>
      </c>
      <c r="B114" s="20">
        <v>13.6</v>
      </c>
      <c r="C114" s="20">
        <v>13.6</v>
      </c>
      <c r="D114" s="20">
        <v>13.4</v>
      </c>
      <c r="E114" s="20">
        <v>13.2</v>
      </c>
      <c r="F114" s="20">
        <v>13</v>
      </c>
      <c r="G114" s="20">
        <v>13.7</v>
      </c>
      <c r="I114" s="20">
        <v>13.6</v>
      </c>
      <c r="J114" s="187">
        <v>13.5</v>
      </c>
      <c r="K114" s="20">
        <v>14.3</v>
      </c>
      <c r="L114" s="20">
        <v>14.3</v>
      </c>
      <c r="M114" s="20">
        <v>14.5</v>
      </c>
      <c r="N114" s="20">
        <v>15.8</v>
      </c>
      <c r="O114" s="20">
        <v>12.1</v>
      </c>
      <c r="P114" s="20">
        <v>14.2</v>
      </c>
      <c r="R114" s="20">
        <v>14.3</v>
      </c>
      <c r="S114" s="20">
        <v>14.4</v>
      </c>
      <c r="T114" s="20">
        <v>3.8</v>
      </c>
      <c r="U114" s="20">
        <v>4.5999999999999996</v>
      </c>
      <c r="V114" s="20">
        <v>3.1</v>
      </c>
      <c r="W114" s="20">
        <v>4.8</v>
      </c>
      <c r="X114" s="20">
        <v>4</v>
      </c>
      <c r="Y114" s="20">
        <v>4.5999999999999996</v>
      </c>
      <c r="AA114" s="20">
        <v>3</v>
      </c>
      <c r="AB114" s="20">
        <v>3.8</v>
      </c>
    </row>
    <row r="115" spans="1:28" x14ac:dyDescent="0.2">
      <c r="A115" s="22">
        <v>27273</v>
      </c>
      <c r="B115" s="20">
        <v>14.4</v>
      </c>
      <c r="C115" s="20">
        <v>14.3</v>
      </c>
      <c r="D115" s="20">
        <v>14.2</v>
      </c>
      <c r="E115" s="20">
        <v>13.8</v>
      </c>
      <c r="F115" s="20">
        <v>13.6</v>
      </c>
      <c r="G115" s="20">
        <v>14.4</v>
      </c>
      <c r="I115" s="20">
        <v>14.3</v>
      </c>
      <c r="J115" s="187">
        <v>14.2</v>
      </c>
      <c r="K115" s="20">
        <v>17.100000000000001</v>
      </c>
      <c r="L115" s="20">
        <v>16.3</v>
      </c>
      <c r="M115" s="20">
        <v>16.399999999999999</v>
      </c>
      <c r="N115" s="20">
        <v>16.899999999999999</v>
      </c>
      <c r="O115" s="20">
        <v>14.3</v>
      </c>
      <c r="P115" s="20">
        <v>17.100000000000001</v>
      </c>
      <c r="R115" s="20">
        <v>16.3</v>
      </c>
      <c r="S115" s="20">
        <v>16.399999999999999</v>
      </c>
      <c r="T115" s="20">
        <v>5.9</v>
      </c>
      <c r="U115" s="20">
        <v>5.0999999999999996</v>
      </c>
      <c r="V115" s="20">
        <v>6</v>
      </c>
      <c r="W115" s="20">
        <v>4.5</v>
      </c>
      <c r="X115" s="20">
        <v>4.5999999999999996</v>
      </c>
      <c r="Y115" s="20">
        <v>5.0999999999999996</v>
      </c>
      <c r="AA115" s="20">
        <v>5.0999999999999996</v>
      </c>
      <c r="AB115" s="20">
        <v>5.2</v>
      </c>
    </row>
    <row r="116" spans="1:28" x14ac:dyDescent="0.2">
      <c r="A116" s="22">
        <v>27364</v>
      </c>
      <c r="B116" s="20">
        <v>14.9</v>
      </c>
      <c r="C116" s="20">
        <v>14.7</v>
      </c>
      <c r="D116" s="20">
        <v>14.6</v>
      </c>
      <c r="E116" s="20">
        <v>14.4</v>
      </c>
      <c r="F116" s="20">
        <v>14.4</v>
      </c>
      <c r="G116" s="20">
        <v>15.1</v>
      </c>
      <c r="I116" s="20">
        <v>14.8</v>
      </c>
      <c r="J116" s="187">
        <v>14.7</v>
      </c>
      <c r="K116" s="20">
        <v>16.399999999999999</v>
      </c>
      <c r="L116" s="20">
        <v>15.7</v>
      </c>
      <c r="M116" s="20">
        <v>15</v>
      </c>
      <c r="N116" s="20">
        <v>17.100000000000001</v>
      </c>
      <c r="O116" s="20">
        <v>17.100000000000001</v>
      </c>
      <c r="P116" s="20">
        <v>17.100000000000001</v>
      </c>
      <c r="R116" s="20">
        <v>15.6</v>
      </c>
      <c r="S116" s="20">
        <v>16.7</v>
      </c>
      <c r="T116" s="20">
        <v>3.5</v>
      </c>
      <c r="U116" s="20">
        <v>2.8</v>
      </c>
      <c r="V116" s="20">
        <v>2.8</v>
      </c>
      <c r="W116" s="20">
        <v>4.3</v>
      </c>
      <c r="X116" s="20">
        <v>5.9</v>
      </c>
      <c r="Y116" s="20">
        <v>4.9000000000000004</v>
      </c>
      <c r="AA116" s="20">
        <v>3.5</v>
      </c>
      <c r="AB116" s="20">
        <v>3.5</v>
      </c>
    </row>
    <row r="117" spans="1:28" x14ac:dyDescent="0.2">
      <c r="A117" s="22">
        <v>27454</v>
      </c>
      <c r="B117" s="20">
        <v>15.3</v>
      </c>
      <c r="C117" s="20">
        <v>15.4</v>
      </c>
      <c r="D117" s="20">
        <v>15</v>
      </c>
      <c r="E117" s="20">
        <v>15.1</v>
      </c>
      <c r="F117" s="20">
        <v>15</v>
      </c>
      <c r="G117" s="20">
        <v>15.4</v>
      </c>
      <c r="I117" s="20">
        <v>15.1</v>
      </c>
      <c r="J117" s="187">
        <v>15.3</v>
      </c>
      <c r="K117" s="20">
        <v>16.8</v>
      </c>
      <c r="L117" s="20">
        <v>18.5</v>
      </c>
      <c r="M117" s="20">
        <v>15.4</v>
      </c>
      <c r="N117" s="20">
        <v>19.8</v>
      </c>
      <c r="O117" s="20">
        <v>20</v>
      </c>
      <c r="P117" s="20">
        <v>17.600000000000001</v>
      </c>
      <c r="R117" s="20">
        <v>14.4</v>
      </c>
      <c r="S117" s="20">
        <v>17.7</v>
      </c>
      <c r="T117" s="20">
        <v>2.7</v>
      </c>
      <c r="U117" s="20">
        <v>4.8</v>
      </c>
      <c r="V117" s="20">
        <v>2.7</v>
      </c>
      <c r="W117" s="20">
        <v>4.9000000000000004</v>
      </c>
      <c r="X117" s="20">
        <v>4.2</v>
      </c>
      <c r="Y117" s="20">
        <v>2</v>
      </c>
      <c r="AA117" s="20">
        <v>2</v>
      </c>
      <c r="AB117" s="20">
        <v>4.0999999999999996</v>
      </c>
    </row>
    <row r="118" spans="1:28" x14ac:dyDescent="0.2">
      <c r="A118" s="22">
        <v>27546</v>
      </c>
      <c r="B118" s="20">
        <v>15.9</v>
      </c>
      <c r="C118" s="20">
        <v>15.9</v>
      </c>
      <c r="D118" s="20">
        <v>15.4</v>
      </c>
      <c r="E118" s="20">
        <v>15.6</v>
      </c>
      <c r="F118" s="20">
        <v>15.6</v>
      </c>
      <c r="G118" s="20">
        <v>15.9</v>
      </c>
      <c r="I118" s="20">
        <v>15.8</v>
      </c>
      <c r="J118" s="187">
        <v>15.8</v>
      </c>
      <c r="K118" s="20">
        <v>16.899999999999999</v>
      </c>
      <c r="L118" s="20">
        <v>16.899999999999999</v>
      </c>
      <c r="M118" s="20">
        <v>14.9</v>
      </c>
      <c r="N118" s="20">
        <v>18.2</v>
      </c>
      <c r="O118" s="20">
        <v>20</v>
      </c>
      <c r="P118" s="20">
        <v>16.100000000000001</v>
      </c>
      <c r="R118" s="20">
        <v>16.2</v>
      </c>
      <c r="S118" s="20">
        <v>17</v>
      </c>
      <c r="T118" s="20">
        <v>3.9</v>
      </c>
      <c r="U118" s="20">
        <v>3.2</v>
      </c>
      <c r="V118" s="20">
        <v>2.7</v>
      </c>
      <c r="W118" s="20">
        <v>3.3</v>
      </c>
      <c r="X118" s="20">
        <v>4</v>
      </c>
      <c r="Y118" s="20">
        <v>3.2</v>
      </c>
      <c r="AA118" s="20">
        <v>4.5999999999999996</v>
      </c>
      <c r="AB118" s="20">
        <v>3.3</v>
      </c>
    </row>
    <row r="119" spans="1:28" x14ac:dyDescent="0.2">
      <c r="A119" s="22">
        <v>27638</v>
      </c>
      <c r="B119" s="20">
        <v>16.100000000000001</v>
      </c>
      <c r="C119" s="20">
        <v>15.9</v>
      </c>
      <c r="D119" s="20">
        <v>15.7</v>
      </c>
      <c r="E119" s="20">
        <v>15.5</v>
      </c>
      <c r="F119" s="20">
        <v>15.6</v>
      </c>
      <c r="G119" s="20">
        <v>16.100000000000001</v>
      </c>
      <c r="I119" s="20">
        <v>15.7</v>
      </c>
      <c r="J119" s="187">
        <v>15.9</v>
      </c>
      <c r="K119" s="20">
        <v>11.8</v>
      </c>
      <c r="L119" s="20">
        <v>11.2</v>
      </c>
      <c r="M119" s="20">
        <v>10.6</v>
      </c>
      <c r="N119" s="20">
        <v>12.3</v>
      </c>
      <c r="O119" s="20">
        <v>14.7</v>
      </c>
      <c r="P119" s="20">
        <v>11.8</v>
      </c>
      <c r="R119" s="20">
        <v>9.8000000000000007</v>
      </c>
      <c r="S119" s="20">
        <v>12</v>
      </c>
      <c r="T119" s="20">
        <v>1.3</v>
      </c>
      <c r="U119" s="20">
        <v>0</v>
      </c>
      <c r="V119" s="20">
        <v>1.9</v>
      </c>
      <c r="W119" s="20">
        <v>-0.6</v>
      </c>
      <c r="X119" s="20">
        <v>0</v>
      </c>
      <c r="Y119" s="20">
        <v>1.3</v>
      </c>
      <c r="AA119" s="20">
        <v>-0.6</v>
      </c>
      <c r="AB119" s="20">
        <v>0.6</v>
      </c>
    </row>
    <row r="120" spans="1:28" x14ac:dyDescent="0.2">
      <c r="A120" s="22">
        <v>27729</v>
      </c>
      <c r="B120" s="20">
        <v>16.899999999999999</v>
      </c>
      <c r="C120" s="20">
        <v>16.899999999999999</v>
      </c>
      <c r="D120" s="20">
        <v>16.7</v>
      </c>
      <c r="E120" s="20">
        <v>16.3</v>
      </c>
      <c r="F120" s="20">
        <v>16.5</v>
      </c>
      <c r="G120" s="20">
        <v>17.3</v>
      </c>
      <c r="I120" s="20">
        <v>17</v>
      </c>
      <c r="J120" s="187">
        <v>16.8</v>
      </c>
      <c r="K120" s="20">
        <v>13.4</v>
      </c>
      <c r="L120" s="20">
        <v>15</v>
      </c>
      <c r="M120" s="20">
        <v>14.4</v>
      </c>
      <c r="N120" s="20">
        <v>13.2</v>
      </c>
      <c r="O120" s="20">
        <v>14.6</v>
      </c>
      <c r="P120" s="20">
        <v>14.6</v>
      </c>
      <c r="R120" s="20">
        <v>14.9</v>
      </c>
      <c r="S120" s="20">
        <v>14.3</v>
      </c>
      <c r="T120" s="20">
        <v>5</v>
      </c>
      <c r="U120" s="20">
        <v>6.3</v>
      </c>
      <c r="V120" s="20">
        <v>6.4</v>
      </c>
      <c r="W120" s="20">
        <v>5.2</v>
      </c>
      <c r="X120" s="20">
        <v>5.8</v>
      </c>
      <c r="Y120" s="20">
        <v>7.5</v>
      </c>
      <c r="AA120" s="20">
        <v>8.3000000000000007</v>
      </c>
      <c r="AB120" s="20">
        <v>5.7</v>
      </c>
    </row>
    <row r="121" spans="1:28" x14ac:dyDescent="0.2">
      <c r="A121" s="22">
        <v>27820</v>
      </c>
      <c r="B121" s="20">
        <v>17.399999999999999</v>
      </c>
      <c r="C121" s="20">
        <v>17.3</v>
      </c>
      <c r="D121" s="20">
        <v>17.100000000000001</v>
      </c>
      <c r="E121" s="20">
        <v>16.899999999999999</v>
      </c>
      <c r="F121" s="20">
        <v>17.100000000000001</v>
      </c>
      <c r="G121" s="20">
        <v>17.7</v>
      </c>
      <c r="I121" s="20">
        <v>17.399999999999999</v>
      </c>
      <c r="J121" s="187">
        <v>17.3</v>
      </c>
      <c r="K121" s="20">
        <v>13.7</v>
      </c>
      <c r="L121" s="20">
        <v>12.3</v>
      </c>
      <c r="M121" s="20">
        <v>14</v>
      </c>
      <c r="N121" s="20">
        <v>11.9</v>
      </c>
      <c r="O121" s="20">
        <v>14</v>
      </c>
      <c r="P121" s="20">
        <v>14.9</v>
      </c>
      <c r="R121" s="20">
        <v>15.2</v>
      </c>
      <c r="S121" s="20">
        <v>13.1</v>
      </c>
      <c r="T121" s="20">
        <v>3</v>
      </c>
      <c r="U121" s="20">
        <v>2.4</v>
      </c>
      <c r="V121" s="20">
        <v>2.4</v>
      </c>
      <c r="W121" s="20">
        <v>3.7</v>
      </c>
      <c r="X121" s="20">
        <v>3.6</v>
      </c>
      <c r="Y121" s="20">
        <v>2.2999999999999998</v>
      </c>
      <c r="AA121" s="20">
        <v>2.4</v>
      </c>
      <c r="AB121" s="20">
        <v>3</v>
      </c>
    </row>
    <row r="122" spans="1:28" x14ac:dyDescent="0.2">
      <c r="A122" s="22">
        <v>27912</v>
      </c>
      <c r="B122" s="20">
        <v>17.8</v>
      </c>
      <c r="C122" s="20">
        <v>17.8</v>
      </c>
      <c r="D122" s="20">
        <v>17.600000000000001</v>
      </c>
      <c r="E122" s="20">
        <v>17.399999999999999</v>
      </c>
      <c r="F122" s="20">
        <v>17.7</v>
      </c>
      <c r="G122" s="20">
        <v>18.3</v>
      </c>
      <c r="I122" s="20">
        <v>18</v>
      </c>
      <c r="J122" s="187">
        <v>17.7</v>
      </c>
      <c r="K122" s="20">
        <v>11.9</v>
      </c>
      <c r="L122" s="20">
        <v>11.9</v>
      </c>
      <c r="M122" s="20">
        <v>14.3</v>
      </c>
      <c r="N122" s="20">
        <v>11.5</v>
      </c>
      <c r="O122" s="20">
        <v>13.5</v>
      </c>
      <c r="P122" s="20">
        <v>15.1</v>
      </c>
      <c r="R122" s="20">
        <v>13.9</v>
      </c>
      <c r="S122" s="20">
        <v>12</v>
      </c>
      <c r="T122" s="20">
        <v>2.2999999999999998</v>
      </c>
      <c r="U122" s="20">
        <v>2.9</v>
      </c>
      <c r="V122" s="20">
        <v>2.9</v>
      </c>
      <c r="W122" s="20">
        <v>3</v>
      </c>
      <c r="X122" s="20">
        <v>3.5</v>
      </c>
      <c r="Y122" s="20">
        <v>3.4</v>
      </c>
      <c r="AA122" s="20">
        <v>3.4</v>
      </c>
      <c r="AB122" s="20">
        <v>2.2999999999999998</v>
      </c>
    </row>
    <row r="123" spans="1:28" x14ac:dyDescent="0.2">
      <c r="A123" s="22">
        <v>28004</v>
      </c>
      <c r="B123" s="20">
        <v>18.100000000000001</v>
      </c>
      <c r="C123" s="20">
        <v>18.2</v>
      </c>
      <c r="D123" s="20">
        <v>18</v>
      </c>
      <c r="E123" s="20">
        <v>17.899999999999999</v>
      </c>
      <c r="F123" s="20">
        <v>18.2</v>
      </c>
      <c r="G123" s="20">
        <v>18.7</v>
      </c>
      <c r="I123" s="20">
        <v>18.399999999999999</v>
      </c>
      <c r="J123" s="187">
        <v>18.100000000000001</v>
      </c>
      <c r="K123" s="20">
        <v>12.4</v>
      </c>
      <c r="L123" s="20">
        <v>14.5</v>
      </c>
      <c r="M123" s="20">
        <v>14.6</v>
      </c>
      <c r="N123" s="20">
        <v>15.5</v>
      </c>
      <c r="O123" s="20">
        <v>16.7</v>
      </c>
      <c r="P123" s="20">
        <v>16.100000000000001</v>
      </c>
      <c r="R123" s="20">
        <v>17.2</v>
      </c>
      <c r="S123" s="20">
        <v>13.8</v>
      </c>
      <c r="T123" s="20">
        <v>1.7</v>
      </c>
      <c r="U123" s="20">
        <v>2.2000000000000002</v>
      </c>
      <c r="V123" s="20">
        <v>2.2999999999999998</v>
      </c>
      <c r="W123" s="20">
        <v>2.9</v>
      </c>
      <c r="X123" s="20">
        <v>2.8</v>
      </c>
      <c r="Y123" s="20">
        <v>2.2000000000000002</v>
      </c>
      <c r="AA123" s="20">
        <v>2.2000000000000002</v>
      </c>
      <c r="AB123" s="20">
        <v>2.2999999999999998</v>
      </c>
    </row>
    <row r="124" spans="1:28" x14ac:dyDescent="0.2">
      <c r="A124" s="22">
        <v>28095</v>
      </c>
      <c r="B124" s="20">
        <v>19.100000000000001</v>
      </c>
      <c r="C124" s="20">
        <v>19.3</v>
      </c>
      <c r="D124" s="20">
        <v>19.100000000000001</v>
      </c>
      <c r="E124" s="20">
        <v>19.100000000000001</v>
      </c>
      <c r="F124" s="20">
        <v>19.3</v>
      </c>
      <c r="G124" s="20">
        <v>19.8</v>
      </c>
      <c r="I124" s="20">
        <v>19.399999999999999</v>
      </c>
      <c r="J124" s="187">
        <v>19.2</v>
      </c>
      <c r="K124" s="20">
        <v>13</v>
      </c>
      <c r="L124" s="20">
        <v>14.2</v>
      </c>
      <c r="M124" s="20">
        <v>14.4</v>
      </c>
      <c r="N124" s="20">
        <v>17.2</v>
      </c>
      <c r="O124" s="20">
        <v>17</v>
      </c>
      <c r="P124" s="20">
        <v>14.5</v>
      </c>
      <c r="R124" s="20">
        <v>14.1</v>
      </c>
      <c r="S124" s="20">
        <v>14.3</v>
      </c>
      <c r="T124" s="20">
        <v>5.5</v>
      </c>
      <c r="U124" s="20">
        <v>6</v>
      </c>
      <c r="V124" s="20">
        <v>6.1</v>
      </c>
      <c r="W124" s="20">
        <v>6.7</v>
      </c>
      <c r="X124" s="20">
        <v>6</v>
      </c>
      <c r="Y124" s="20">
        <v>5.9</v>
      </c>
      <c r="AA124" s="20">
        <v>5.4</v>
      </c>
      <c r="AB124" s="20">
        <v>6.1</v>
      </c>
    </row>
    <row r="125" spans="1:28" x14ac:dyDescent="0.2">
      <c r="A125" s="22">
        <v>28185</v>
      </c>
      <c r="B125" s="20">
        <v>19.5</v>
      </c>
      <c r="C125" s="20">
        <v>19.8</v>
      </c>
      <c r="D125" s="20">
        <v>19.5</v>
      </c>
      <c r="E125" s="20">
        <v>19.5</v>
      </c>
      <c r="F125" s="20">
        <v>19.8</v>
      </c>
      <c r="G125" s="20">
        <v>20.2</v>
      </c>
      <c r="I125" s="20">
        <v>19.7</v>
      </c>
      <c r="J125" s="187">
        <v>19.600000000000001</v>
      </c>
      <c r="K125" s="20">
        <v>12.1</v>
      </c>
      <c r="L125" s="20">
        <v>14.5</v>
      </c>
      <c r="M125" s="20">
        <v>14</v>
      </c>
      <c r="N125" s="20">
        <v>15.4</v>
      </c>
      <c r="O125" s="20">
        <v>15.8</v>
      </c>
      <c r="P125" s="20">
        <v>14.1</v>
      </c>
      <c r="R125" s="20">
        <v>13.2</v>
      </c>
      <c r="S125" s="20">
        <v>13.3</v>
      </c>
      <c r="T125" s="20">
        <v>2.1</v>
      </c>
      <c r="U125" s="20">
        <v>2.6</v>
      </c>
      <c r="V125" s="20">
        <v>2.1</v>
      </c>
      <c r="W125" s="20">
        <v>2.1</v>
      </c>
      <c r="X125" s="20">
        <v>2.6</v>
      </c>
      <c r="Y125" s="20">
        <v>2</v>
      </c>
      <c r="AA125" s="20">
        <v>1.5</v>
      </c>
      <c r="AB125" s="20">
        <v>2.1</v>
      </c>
    </row>
    <row r="126" spans="1:28" x14ac:dyDescent="0.2">
      <c r="A126" s="22">
        <v>28277</v>
      </c>
      <c r="B126" s="20">
        <v>19.899999999999999</v>
      </c>
      <c r="C126" s="20">
        <v>20.399999999999999</v>
      </c>
      <c r="D126" s="20">
        <v>19.899999999999999</v>
      </c>
      <c r="E126" s="20">
        <v>19.899999999999999</v>
      </c>
      <c r="F126" s="20">
        <v>20.2</v>
      </c>
      <c r="G126" s="20">
        <v>20.7</v>
      </c>
      <c r="I126" s="20">
        <v>20</v>
      </c>
      <c r="J126" s="187">
        <v>20.100000000000001</v>
      </c>
      <c r="K126" s="20">
        <v>11.8</v>
      </c>
      <c r="L126" s="20">
        <v>14.6</v>
      </c>
      <c r="M126" s="20">
        <v>13.1</v>
      </c>
      <c r="N126" s="20">
        <v>14.4</v>
      </c>
      <c r="O126" s="20">
        <v>14.1</v>
      </c>
      <c r="P126" s="20">
        <v>13.1</v>
      </c>
      <c r="R126" s="20">
        <v>11.1</v>
      </c>
      <c r="S126" s="20">
        <v>13.6</v>
      </c>
      <c r="T126" s="20">
        <v>2.1</v>
      </c>
      <c r="U126" s="20">
        <v>3</v>
      </c>
      <c r="V126" s="20">
        <v>2.1</v>
      </c>
      <c r="W126" s="20">
        <v>2.1</v>
      </c>
      <c r="X126" s="20">
        <v>2</v>
      </c>
      <c r="Y126" s="20">
        <v>2.5</v>
      </c>
      <c r="AA126" s="20">
        <v>1.5</v>
      </c>
      <c r="AB126" s="20">
        <v>2.6</v>
      </c>
    </row>
    <row r="127" spans="1:28" x14ac:dyDescent="0.2">
      <c r="A127" s="22">
        <v>28369</v>
      </c>
      <c r="B127" s="20">
        <v>20.3</v>
      </c>
      <c r="C127" s="20">
        <v>20.8</v>
      </c>
      <c r="D127" s="20">
        <v>20.3</v>
      </c>
      <c r="E127" s="20">
        <v>20.399999999999999</v>
      </c>
      <c r="F127" s="20">
        <v>20.7</v>
      </c>
      <c r="G127" s="20">
        <v>21.2</v>
      </c>
      <c r="I127" s="20">
        <v>20.399999999999999</v>
      </c>
      <c r="J127" s="187">
        <v>20.5</v>
      </c>
      <c r="K127" s="20">
        <v>12.2</v>
      </c>
      <c r="L127" s="20">
        <v>14.3</v>
      </c>
      <c r="M127" s="20">
        <v>12.8</v>
      </c>
      <c r="N127" s="20">
        <v>14</v>
      </c>
      <c r="O127" s="20">
        <v>13.7</v>
      </c>
      <c r="P127" s="20">
        <v>13.4</v>
      </c>
      <c r="R127" s="20">
        <v>10.9</v>
      </c>
      <c r="S127" s="20">
        <v>13.3</v>
      </c>
      <c r="T127" s="20">
        <v>2</v>
      </c>
      <c r="U127" s="20">
        <v>2</v>
      </c>
      <c r="V127" s="20">
        <v>2</v>
      </c>
      <c r="W127" s="20">
        <v>2.5</v>
      </c>
      <c r="X127" s="20">
        <v>2.5</v>
      </c>
      <c r="Y127" s="20">
        <v>2.4</v>
      </c>
      <c r="AA127" s="20">
        <v>2</v>
      </c>
      <c r="AB127" s="20">
        <v>2</v>
      </c>
    </row>
    <row r="128" spans="1:28" x14ac:dyDescent="0.2">
      <c r="A128" s="22">
        <v>28460</v>
      </c>
      <c r="B128" s="20">
        <v>20.7</v>
      </c>
      <c r="C128" s="20">
        <v>21.2</v>
      </c>
      <c r="D128" s="20">
        <v>20.7</v>
      </c>
      <c r="E128" s="20">
        <v>20.9</v>
      </c>
      <c r="F128" s="20">
        <v>21.5</v>
      </c>
      <c r="G128" s="20">
        <v>21.7</v>
      </c>
      <c r="I128" s="20">
        <v>21.1</v>
      </c>
      <c r="J128" s="187">
        <v>21</v>
      </c>
      <c r="K128" s="20">
        <v>8.4</v>
      </c>
      <c r="L128" s="20">
        <v>9.8000000000000007</v>
      </c>
      <c r="M128" s="20">
        <v>8.4</v>
      </c>
      <c r="N128" s="20">
        <v>9.4</v>
      </c>
      <c r="O128" s="20">
        <v>11.4</v>
      </c>
      <c r="P128" s="20">
        <v>9.6</v>
      </c>
      <c r="R128" s="20">
        <v>8.8000000000000007</v>
      </c>
      <c r="S128" s="20">
        <v>9.4</v>
      </c>
      <c r="T128" s="20">
        <v>2</v>
      </c>
      <c r="U128" s="20">
        <v>1.9</v>
      </c>
      <c r="V128" s="20">
        <v>2</v>
      </c>
      <c r="W128" s="20">
        <v>2.5</v>
      </c>
      <c r="X128" s="20">
        <v>3.9</v>
      </c>
      <c r="Y128" s="20">
        <v>2.4</v>
      </c>
      <c r="AA128" s="20">
        <v>3.4</v>
      </c>
      <c r="AB128" s="20">
        <v>2.4</v>
      </c>
    </row>
    <row r="129" spans="1:28" x14ac:dyDescent="0.2">
      <c r="A129" s="22">
        <v>28550</v>
      </c>
      <c r="B129" s="20">
        <v>21</v>
      </c>
      <c r="C129" s="20">
        <v>21.5</v>
      </c>
      <c r="D129" s="20">
        <v>21.1</v>
      </c>
      <c r="E129" s="20">
        <v>21.1</v>
      </c>
      <c r="F129" s="20">
        <v>21.7</v>
      </c>
      <c r="G129" s="20">
        <v>22</v>
      </c>
      <c r="I129" s="20">
        <v>21.3</v>
      </c>
      <c r="J129" s="187">
        <v>21.3</v>
      </c>
      <c r="K129" s="20">
        <v>7.7</v>
      </c>
      <c r="L129" s="20">
        <v>8.6</v>
      </c>
      <c r="M129" s="20">
        <v>8.1999999999999993</v>
      </c>
      <c r="N129" s="20">
        <v>8.1999999999999993</v>
      </c>
      <c r="O129" s="20">
        <v>9.6</v>
      </c>
      <c r="P129" s="20">
        <v>8.9</v>
      </c>
      <c r="R129" s="20">
        <v>8.1</v>
      </c>
      <c r="S129" s="20">
        <v>8.6999999999999993</v>
      </c>
      <c r="T129" s="20">
        <v>1.4</v>
      </c>
      <c r="U129" s="20">
        <v>1.4</v>
      </c>
      <c r="V129" s="20">
        <v>1.9</v>
      </c>
      <c r="W129" s="20">
        <v>1</v>
      </c>
      <c r="X129" s="20">
        <v>0.9</v>
      </c>
      <c r="Y129" s="20">
        <v>1.4</v>
      </c>
      <c r="AA129" s="20">
        <v>0.9</v>
      </c>
      <c r="AB129" s="20">
        <v>1.4</v>
      </c>
    </row>
    <row r="130" spans="1:28" x14ac:dyDescent="0.2">
      <c r="A130" s="22">
        <v>28642</v>
      </c>
      <c r="B130" s="20">
        <v>21.4</v>
      </c>
      <c r="C130" s="20">
        <v>22</v>
      </c>
      <c r="D130" s="20">
        <v>21.5</v>
      </c>
      <c r="E130" s="20">
        <v>21.5</v>
      </c>
      <c r="F130" s="20">
        <v>22.1</v>
      </c>
      <c r="G130" s="20">
        <v>22.4</v>
      </c>
      <c r="I130" s="20">
        <v>21.6</v>
      </c>
      <c r="J130" s="187">
        <v>21.7</v>
      </c>
      <c r="K130" s="20">
        <v>7.5</v>
      </c>
      <c r="L130" s="20">
        <v>7.8</v>
      </c>
      <c r="M130" s="20">
        <v>8</v>
      </c>
      <c r="N130" s="20">
        <v>8</v>
      </c>
      <c r="O130" s="20">
        <v>9.4</v>
      </c>
      <c r="P130" s="20">
        <v>8.1999999999999993</v>
      </c>
      <c r="R130" s="20">
        <v>8</v>
      </c>
      <c r="S130" s="20">
        <v>8</v>
      </c>
      <c r="T130" s="20">
        <v>1.9</v>
      </c>
      <c r="U130" s="20">
        <v>2.2999999999999998</v>
      </c>
      <c r="V130" s="20">
        <v>1.9</v>
      </c>
      <c r="W130" s="20">
        <v>1.9</v>
      </c>
      <c r="X130" s="20">
        <v>1.8</v>
      </c>
      <c r="Y130" s="20">
        <v>1.8</v>
      </c>
      <c r="AA130" s="20">
        <v>1.4</v>
      </c>
      <c r="AB130" s="20">
        <v>1.9</v>
      </c>
    </row>
    <row r="131" spans="1:28" x14ac:dyDescent="0.2">
      <c r="A131" s="22">
        <v>28734</v>
      </c>
      <c r="B131" s="20">
        <v>21.9</v>
      </c>
      <c r="C131" s="20">
        <v>22.4</v>
      </c>
      <c r="D131" s="20">
        <v>21.9</v>
      </c>
      <c r="E131" s="20">
        <v>22</v>
      </c>
      <c r="F131" s="20">
        <v>22.5</v>
      </c>
      <c r="G131" s="20">
        <v>22.7</v>
      </c>
      <c r="I131" s="20">
        <v>22.1</v>
      </c>
      <c r="J131" s="187">
        <v>22.1</v>
      </c>
      <c r="K131" s="20">
        <v>7.9</v>
      </c>
      <c r="L131" s="20">
        <v>7.7</v>
      </c>
      <c r="M131" s="20">
        <v>7.9</v>
      </c>
      <c r="N131" s="20">
        <v>7.8</v>
      </c>
      <c r="O131" s="20">
        <v>8.6999999999999993</v>
      </c>
      <c r="P131" s="20">
        <v>7.1</v>
      </c>
      <c r="R131" s="20">
        <v>8.3000000000000007</v>
      </c>
      <c r="S131" s="20">
        <v>7.8</v>
      </c>
      <c r="T131" s="20">
        <v>2.2999999999999998</v>
      </c>
      <c r="U131" s="20">
        <v>1.8</v>
      </c>
      <c r="V131" s="20">
        <v>1.9</v>
      </c>
      <c r="W131" s="20">
        <v>2.2999999999999998</v>
      </c>
      <c r="X131" s="20">
        <v>1.8</v>
      </c>
      <c r="Y131" s="20">
        <v>1.3</v>
      </c>
      <c r="AA131" s="20">
        <v>2.2999999999999998</v>
      </c>
      <c r="AB131" s="20">
        <v>1.8</v>
      </c>
    </row>
    <row r="132" spans="1:28" x14ac:dyDescent="0.2">
      <c r="A132" s="22">
        <v>28825</v>
      </c>
      <c r="B132" s="20">
        <v>22.4</v>
      </c>
      <c r="C132" s="20">
        <v>22.8</v>
      </c>
      <c r="D132" s="20">
        <v>22.6</v>
      </c>
      <c r="E132" s="20">
        <v>22.3</v>
      </c>
      <c r="F132" s="20">
        <v>23</v>
      </c>
      <c r="G132" s="20">
        <v>23.2</v>
      </c>
      <c r="I132" s="20">
        <v>22.6</v>
      </c>
      <c r="J132" s="187">
        <v>22.6</v>
      </c>
      <c r="K132" s="20">
        <v>8.1999999999999993</v>
      </c>
      <c r="L132" s="20">
        <v>7.5</v>
      </c>
      <c r="M132" s="20">
        <v>9.1999999999999993</v>
      </c>
      <c r="N132" s="20">
        <v>6.7</v>
      </c>
      <c r="O132" s="20">
        <v>7</v>
      </c>
      <c r="P132" s="20">
        <v>6.9</v>
      </c>
      <c r="R132" s="20">
        <v>7.1</v>
      </c>
      <c r="S132" s="20">
        <v>7.6</v>
      </c>
      <c r="T132" s="20">
        <v>2.2999999999999998</v>
      </c>
      <c r="U132" s="20">
        <v>1.8</v>
      </c>
      <c r="V132" s="20">
        <v>3.2</v>
      </c>
      <c r="W132" s="20">
        <v>1.4</v>
      </c>
      <c r="X132" s="20">
        <v>2.2000000000000002</v>
      </c>
      <c r="Y132" s="20">
        <v>2.2000000000000002</v>
      </c>
      <c r="AA132" s="20">
        <v>2.2999999999999998</v>
      </c>
      <c r="AB132" s="20">
        <v>2.2999999999999998</v>
      </c>
    </row>
    <row r="133" spans="1:28" x14ac:dyDescent="0.2">
      <c r="A133" s="22">
        <v>28915</v>
      </c>
      <c r="B133" s="20">
        <v>22.8</v>
      </c>
      <c r="C133" s="20">
        <v>23.2</v>
      </c>
      <c r="D133" s="20">
        <v>22.8</v>
      </c>
      <c r="E133" s="20">
        <v>22.7</v>
      </c>
      <c r="F133" s="20">
        <v>23.3</v>
      </c>
      <c r="G133" s="20">
        <v>23.7</v>
      </c>
      <c r="I133" s="20">
        <v>23</v>
      </c>
      <c r="J133" s="187">
        <v>23</v>
      </c>
      <c r="K133" s="20">
        <v>8.6</v>
      </c>
      <c r="L133" s="20">
        <v>7.9</v>
      </c>
      <c r="M133" s="20">
        <v>8.1</v>
      </c>
      <c r="N133" s="20">
        <v>7.6</v>
      </c>
      <c r="O133" s="20">
        <v>7.4</v>
      </c>
      <c r="P133" s="20">
        <v>7.7</v>
      </c>
      <c r="R133" s="20">
        <v>8</v>
      </c>
      <c r="S133" s="20">
        <v>8</v>
      </c>
      <c r="T133" s="20">
        <v>1.8</v>
      </c>
      <c r="U133" s="20">
        <v>1.8</v>
      </c>
      <c r="V133" s="20">
        <v>0.9</v>
      </c>
      <c r="W133" s="20">
        <v>1.8</v>
      </c>
      <c r="X133" s="20">
        <v>1.3</v>
      </c>
      <c r="Y133" s="20">
        <v>2.2000000000000002</v>
      </c>
      <c r="AA133" s="20">
        <v>1.8</v>
      </c>
      <c r="AB133" s="20">
        <v>1.8</v>
      </c>
    </row>
    <row r="134" spans="1:28" x14ac:dyDescent="0.2">
      <c r="A134" s="22">
        <v>29007</v>
      </c>
      <c r="B134" s="20">
        <v>23.5</v>
      </c>
      <c r="C134" s="20">
        <v>23.8</v>
      </c>
      <c r="D134" s="20">
        <v>23.3</v>
      </c>
      <c r="E134" s="20">
        <v>23.3</v>
      </c>
      <c r="F134" s="20">
        <v>24</v>
      </c>
      <c r="G134" s="20">
        <v>24.4</v>
      </c>
      <c r="I134" s="20">
        <v>23.7</v>
      </c>
      <c r="J134" s="187">
        <v>23.6</v>
      </c>
      <c r="K134" s="20">
        <v>9.8000000000000007</v>
      </c>
      <c r="L134" s="20">
        <v>8.1999999999999993</v>
      </c>
      <c r="M134" s="20">
        <v>8.4</v>
      </c>
      <c r="N134" s="20">
        <v>8.4</v>
      </c>
      <c r="O134" s="20">
        <v>8.6</v>
      </c>
      <c r="P134" s="20">
        <v>8.9</v>
      </c>
      <c r="R134" s="20">
        <v>9.6999999999999993</v>
      </c>
      <c r="S134" s="20">
        <v>8.8000000000000007</v>
      </c>
      <c r="T134" s="20">
        <v>3.1</v>
      </c>
      <c r="U134" s="20">
        <v>2.6</v>
      </c>
      <c r="V134" s="20">
        <v>2.2000000000000002</v>
      </c>
      <c r="W134" s="20">
        <v>2.6</v>
      </c>
      <c r="X134" s="20">
        <v>3</v>
      </c>
      <c r="Y134" s="20">
        <v>3</v>
      </c>
      <c r="AA134" s="20">
        <v>3</v>
      </c>
      <c r="AB134" s="20">
        <v>2.6</v>
      </c>
    </row>
    <row r="135" spans="1:28" x14ac:dyDescent="0.2">
      <c r="A135" s="22">
        <v>29099</v>
      </c>
      <c r="B135" s="20">
        <v>24.1</v>
      </c>
      <c r="C135" s="20">
        <v>24.5</v>
      </c>
      <c r="D135" s="20">
        <v>23.8</v>
      </c>
      <c r="E135" s="20">
        <v>23.7</v>
      </c>
      <c r="F135" s="20">
        <v>24.4</v>
      </c>
      <c r="G135" s="20">
        <v>25</v>
      </c>
      <c r="I135" s="20">
        <v>24.3</v>
      </c>
      <c r="J135" s="187">
        <v>24.2</v>
      </c>
      <c r="K135" s="20">
        <v>10</v>
      </c>
      <c r="L135" s="20">
        <v>9.4</v>
      </c>
      <c r="M135" s="20">
        <v>8.6999999999999993</v>
      </c>
      <c r="N135" s="20">
        <v>7.7</v>
      </c>
      <c r="O135" s="20">
        <v>8.4</v>
      </c>
      <c r="P135" s="20">
        <v>10.1</v>
      </c>
      <c r="R135" s="20">
        <v>10</v>
      </c>
      <c r="S135" s="20">
        <v>9.5</v>
      </c>
      <c r="T135" s="20">
        <v>2.6</v>
      </c>
      <c r="U135" s="20">
        <v>2.9</v>
      </c>
      <c r="V135" s="20">
        <v>2.1</v>
      </c>
      <c r="W135" s="20">
        <v>1.7</v>
      </c>
      <c r="X135" s="20">
        <v>1.7</v>
      </c>
      <c r="Y135" s="20">
        <v>2.5</v>
      </c>
      <c r="AA135" s="20">
        <v>2.5</v>
      </c>
      <c r="AB135" s="20">
        <v>2.5</v>
      </c>
    </row>
    <row r="136" spans="1:28" x14ac:dyDescent="0.2">
      <c r="A136" s="22">
        <v>29190</v>
      </c>
      <c r="B136" s="20">
        <v>24.7</v>
      </c>
      <c r="C136" s="20">
        <v>25.1</v>
      </c>
      <c r="D136" s="20">
        <v>24.6</v>
      </c>
      <c r="E136" s="20">
        <v>24.6</v>
      </c>
      <c r="F136" s="20">
        <v>25.2</v>
      </c>
      <c r="G136" s="20">
        <v>25.7</v>
      </c>
      <c r="I136" s="20">
        <v>24.9</v>
      </c>
      <c r="J136" s="187">
        <v>24.9</v>
      </c>
      <c r="K136" s="20">
        <v>10.3</v>
      </c>
      <c r="L136" s="20">
        <v>10.1</v>
      </c>
      <c r="M136" s="20">
        <v>8.8000000000000007</v>
      </c>
      <c r="N136" s="20">
        <v>10.3</v>
      </c>
      <c r="O136" s="20">
        <v>9.6</v>
      </c>
      <c r="P136" s="20">
        <v>10.8</v>
      </c>
      <c r="R136" s="20">
        <v>10.199999999999999</v>
      </c>
      <c r="S136" s="20">
        <v>10.199999999999999</v>
      </c>
      <c r="T136" s="20">
        <v>2.5</v>
      </c>
      <c r="U136" s="20">
        <v>2.4</v>
      </c>
      <c r="V136" s="20">
        <v>3.4</v>
      </c>
      <c r="W136" s="20">
        <v>3.8</v>
      </c>
      <c r="X136" s="20">
        <v>3.3</v>
      </c>
      <c r="Y136" s="20">
        <v>2.8</v>
      </c>
      <c r="AA136" s="20">
        <v>2.5</v>
      </c>
      <c r="AB136" s="20">
        <v>2.9</v>
      </c>
    </row>
    <row r="137" spans="1:28" x14ac:dyDescent="0.2">
      <c r="A137" s="22">
        <v>29281</v>
      </c>
      <c r="B137" s="20">
        <v>25.4</v>
      </c>
      <c r="C137" s="20">
        <v>25.5</v>
      </c>
      <c r="D137" s="20">
        <v>25.2</v>
      </c>
      <c r="E137" s="20">
        <v>25.1</v>
      </c>
      <c r="F137" s="20">
        <v>25.7</v>
      </c>
      <c r="G137" s="20">
        <v>26.2</v>
      </c>
      <c r="I137" s="20">
        <v>25.6</v>
      </c>
      <c r="J137" s="187">
        <v>25.4</v>
      </c>
      <c r="K137" s="20">
        <v>11.4</v>
      </c>
      <c r="L137" s="20">
        <v>9.9</v>
      </c>
      <c r="M137" s="20">
        <v>10.5</v>
      </c>
      <c r="N137" s="20">
        <v>10.6</v>
      </c>
      <c r="O137" s="20">
        <v>10.3</v>
      </c>
      <c r="P137" s="20">
        <v>10.5</v>
      </c>
      <c r="R137" s="20">
        <v>11.3</v>
      </c>
      <c r="S137" s="20">
        <v>10.4</v>
      </c>
      <c r="T137" s="20">
        <v>2.8</v>
      </c>
      <c r="U137" s="20">
        <v>1.6</v>
      </c>
      <c r="V137" s="20">
        <v>2.4</v>
      </c>
      <c r="W137" s="20">
        <v>2</v>
      </c>
      <c r="X137" s="20">
        <v>2</v>
      </c>
      <c r="Y137" s="20">
        <v>1.9</v>
      </c>
      <c r="AA137" s="20">
        <v>2.8</v>
      </c>
      <c r="AB137" s="20">
        <v>2</v>
      </c>
    </row>
    <row r="138" spans="1:28" x14ac:dyDescent="0.2">
      <c r="A138" s="22">
        <v>29373</v>
      </c>
      <c r="B138" s="20">
        <v>26.1</v>
      </c>
      <c r="C138" s="20">
        <v>26.3</v>
      </c>
      <c r="D138" s="20">
        <v>25.8</v>
      </c>
      <c r="E138" s="20">
        <v>25.8</v>
      </c>
      <c r="F138" s="20">
        <v>26.3</v>
      </c>
      <c r="G138" s="20">
        <v>26.8</v>
      </c>
      <c r="I138" s="20">
        <v>26.3</v>
      </c>
      <c r="J138" s="187">
        <v>26.2</v>
      </c>
      <c r="K138" s="20">
        <v>11.1</v>
      </c>
      <c r="L138" s="20">
        <v>10.5</v>
      </c>
      <c r="M138" s="20">
        <v>10.7</v>
      </c>
      <c r="N138" s="20">
        <v>10.7</v>
      </c>
      <c r="O138" s="20">
        <v>9.6</v>
      </c>
      <c r="P138" s="20">
        <v>9.8000000000000007</v>
      </c>
      <c r="R138" s="20">
        <v>11</v>
      </c>
      <c r="S138" s="20">
        <v>11</v>
      </c>
      <c r="T138" s="20">
        <v>2.8</v>
      </c>
      <c r="U138" s="20">
        <v>3.1</v>
      </c>
      <c r="V138" s="20">
        <v>2.4</v>
      </c>
      <c r="W138" s="20">
        <v>2.8</v>
      </c>
      <c r="X138" s="20">
        <v>2.2999999999999998</v>
      </c>
      <c r="Y138" s="20">
        <v>2.2999999999999998</v>
      </c>
      <c r="AA138" s="20">
        <v>2.7</v>
      </c>
      <c r="AB138" s="20">
        <v>3.1</v>
      </c>
    </row>
    <row r="139" spans="1:28" x14ac:dyDescent="0.2">
      <c r="A139" s="22">
        <v>29465</v>
      </c>
      <c r="B139" s="20">
        <v>26.6</v>
      </c>
      <c r="C139" s="20">
        <v>26.8</v>
      </c>
      <c r="D139" s="20">
        <v>26.2</v>
      </c>
      <c r="E139" s="20">
        <v>26.1</v>
      </c>
      <c r="F139" s="20">
        <v>26.9</v>
      </c>
      <c r="G139" s="20">
        <v>27.5</v>
      </c>
      <c r="H139" s="20">
        <v>28.8</v>
      </c>
      <c r="I139" s="20">
        <v>26.8</v>
      </c>
      <c r="J139" s="187">
        <v>26.6</v>
      </c>
      <c r="K139" s="20">
        <v>10.4</v>
      </c>
      <c r="L139" s="20">
        <v>9.4</v>
      </c>
      <c r="M139" s="20">
        <v>10.1</v>
      </c>
      <c r="N139" s="20">
        <v>10.1</v>
      </c>
      <c r="O139" s="20">
        <v>10.199999999999999</v>
      </c>
      <c r="P139" s="20">
        <v>10</v>
      </c>
      <c r="R139" s="20">
        <v>10.3</v>
      </c>
      <c r="S139" s="20">
        <v>9.9</v>
      </c>
      <c r="T139" s="20">
        <v>1.9</v>
      </c>
      <c r="U139" s="20">
        <v>1.9</v>
      </c>
      <c r="V139" s="20">
        <v>1.6</v>
      </c>
      <c r="W139" s="20">
        <v>1.2</v>
      </c>
      <c r="X139" s="20">
        <v>2.2999999999999998</v>
      </c>
      <c r="Y139" s="20">
        <v>2.6</v>
      </c>
      <c r="AA139" s="20">
        <v>1.9</v>
      </c>
      <c r="AB139" s="20">
        <v>1.5</v>
      </c>
    </row>
    <row r="140" spans="1:28" x14ac:dyDescent="0.2">
      <c r="A140" s="22">
        <v>29556</v>
      </c>
      <c r="B140" s="20">
        <v>27.1</v>
      </c>
      <c r="C140" s="20">
        <v>27.4</v>
      </c>
      <c r="D140" s="20">
        <v>26.8</v>
      </c>
      <c r="E140" s="20">
        <v>26.7</v>
      </c>
      <c r="F140" s="20">
        <v>27.3</v>
      </c>
      <c r="G140" s="20">
        <v>28</v>
      </c>
      <c r="H140" s="20">
        <v>29.5</v>
      </c>
      <c r="I140" s="20">
        <v>27.4</v>
      </c>
      <c r="J140" s="187">
        <v>27.2</v>
      </c>
      <c r="K140" s="20">
        <v>9.6999999999999993</v>
      </c>
      <c r="L140" s="20">
        <v>9.1999999999999993</v>
      </c>
      <c r="M140" s="20">
        <v>8.9</v>
      </c>
      <c r="N140" s="20">
        <v>8.5</v>
      </c>
      <c r="O140" s="20">
        <v>8.3000000000000007</v>
      </c>
      <c r="P140" s="20">
        <v>8.9</v>
      </c>
      <c r="R140" s="20">
        <v>10</v>
      </c>
      <c r="S140" s="20">
        <v>9.1999999999999993</v>
      </c>
      <c r="T140" s="20">
        <v>1.9</v>
      </c>
      <c r="U140" s="20">
        <v>2.2000000000000002</v>
      </c>
      <c r="V140" s="20">
        <v>2.2999999999999998</v>
      </c>
      <c r="W140" s="20">
        <v>2.2999999999999998</v>
      </c>
      <c r="X140" s="20">
        <v>1.5</v>
      </c>
      <c r="Y140" s="20">
        <v>1.8</v>
      </c>
      <c r="Z140" s="20">
        <v>2.4</v>
      </c>
      <c r="AA140" s="20">
        <v>2.2000000000000002</v>
      </c>
      <c r="AB140" s="20">
        <v>2.2999999999999998</v>
      </c>
    </row>
    <row r="141" spans="1:28" x14ac:dyDescent="0.2">
      <c r="A141" s="22">
        <v>29646</v>
      </c>
      <c r="B141" s="20">
        <v>27.9</v>
      </c>
      <c r="C141" s="20">
        <v>28</v>
      </c>
      <c r="D141" s="20">
        <v>27.4</v>
      </c>
      <c r="E141" s="20">
        <v>27.4</v>
      </c>
      <c r="F141" s="20">
        <v>27.9</v>
      </c>
      <c r="G141" s="20">
        <v>28.6</v>
      </c>
      <c r="H141" s="20">
        <v>30.1</v>
      </c>
      <c r="I141" s="20">
        <v>28</v>
      </c>
      <c r="J141" s="187">
        <v>27.8</v>
      </c>
      <c r="K141" s="20">
        <v>9.8000000000000007</v>
      </c>
      <c r="L141" s="20">
        <v>9.8000000000000007</v>
      </c>
      <c r="M141" s="20">
        <v>8.6999999999999993</v>
      </c>
      <c r="N141" s="20">
        <v>9.1999999999999993</v>
      </c>
      <c r="O141" s="20">
        <v>8.6</v>
      </c>
      <c r="P141" s="20">
        <v>9.1999999999999993</v>
      </c>
      <c r="R141" s="20">
        <v>9.4</v>
      </c>
      <c r="S141" s="20">
        <v>9.4</v>
      </c>
      <c r="T141" s="20">
        <v>3</v>
      </c>
      <c r="U141" s="20">
        <v>2.2000000000000002</v>
      </c>
      <c r="V141" s="20">
        <v>2.2000000000000002</v>
      </c>
      <c r="W141" s="20">
        <v>2.6</v>
      </c>
      <c r="X141" s="20">
        <v>2.2000000000000002</v>
      </c>
      <c r="Y141" s="20">
        <v>2.1</v>
      </c>
      <c r="Z141" s="20">
        <v>2</v>
      </c>
      <c r="AA141" s="20">
        <v>2.2000000000000002</v>
      </c>
      <c r="AB141" s="20">
        <v>2.2000000000000002</v>
      </c>
    </row>
    <row r="142" spans="1:28" x14ac:dyDescent="0.2">
      <c r="A142" s="22">
        <v>29738</v>
      </c>
      <c r="B142" s="20">
        <v>28.4</v>
      </c>
      <c r="C142" s="20">
        <v>28.6</v>
      </c>
      <c r="D142" s="20">
        <v>28.1</v>
      </c>
      <c r="E142" s="20">
        <v>28.1</v>
      </c>
      <c r="F142" s="20">
        <v>28.5</v>
      </c>
      <c r="G142" s="20">
        <v>29.2</v>
      </c>
      <c r="H142" s="20">
        <v>30.6</v>
      </c>
      <c r="I142" s="20">
        <v>28.7</v>
      </c>
      <c r="J142" s="187">
        <v>28.4</v>
      </c>
      <c r="K142" s="20">
        <v>8.8000000000000007</v>
      </c>
      <c r="L142" s="20">
        <v>8.6999999999999993</v>
      </c>
      <c r="M142" s="20">
        <v>8.9</v>
      </c>
      <c r="N142" s="20">
        <v>8.9</v>
      </c>
      <c r="O142" s="20">
        <v>8.4</v>
      </c>
      <c r="P142" s="20">
        <v>9</v>
      </c>
      <c r="R142" s="20">
        <v>9.1</v>
      </c>
      <c r="S142" s="20">
        <v>8.4</v>
      </c>
      <c r="T142" s="20">
        <v>1.8</v>
      </c>
      <c r="U142" s="20">
        <v>2.1</v>
      </c>
      <c r="V142" s="20">
        <v>2.6</v>
      </c>
      <c r="W142" s="20">
        <v>2.6</v>
      </c>
      <c r="X142" s="20">
        <v>2.2000000000000002</v>
      </c>
      <c r="Y142" s="20">
        <v>2.1</v>
      </c>
      <c r="Z142" s="20">
        <v>1.7</v>
      </c>
      <c r="AA142" s="20">
        <v>2.5</v>
      </c>
      <c r="AB142" s="20">
        <v>2.2000000000000002</v>
      </c>
    </row>
    <row r="143" spans="1:28" x14ac:dyDescent="0.2">
      <c r="A143" s="22">
        <v>29830</v>
      </c>
      <c r="B143" s="20">
        <v>28.9</v>
      </c>
      <c r="C143" s="20">
        <v>29.3</v>
      </c>
      <c r="D143" s="20">
        <v>28.8</v>
      </c>
      <c r="E143" s="20">
        <v>28.7</v>
      </c>
      <c r="F143" s="20">
        <v>29.4</v>
      </c>
      <c r="G143" s="20">
        <v>29.9</v>
      </c>
      <c r="H143" s="20">
        <v>31.3</v>
      </c>
      <c r="I143" s="20">
        <v>29.3</v>
      </c>
      <c r="J143" s="187">
        <v>29</v>
      </c>
      <c r="K143" s="20">
        <v>8.6</v>
      </c>
      <c r="L143" s="20">
        <v>9.3000000000000007</v>
      </c>
      <c r="M143" s="20">
        <v>9.9</v>
      </c>
      <c r="N143" s="20">
        <v>10</v>
      </c>
      <c r="O143" s="20">
        <v>9.3000000000000007</v>
      </c>
      <c r="P143" s="20">
        <v>8.6999999999999993</v>
      </c>
      <c r="Q143" s="20">
        <v>8.6999999999999993</v>
      </c>
      <c r="R143" s="20">
        <v>9.3000000000000007</v>
      </c>
      <c r="S143" s="20">
        <v>9</v>
      </c>
      <c r="T143" s="20">
        <v>1.8</v>
      </c>
      <c r="U143" s="20">
        <v>2.4</v>
      </c>
      <c r="V143" s="20">
        <v>2.5</v>
      </c>
      <c r="W143" s="20">
        <v>2.1</v>
      </c>
      <c r="X143" s="20">
        <v>3.2</v>
      </c>
      <c r="Y143" s="20">
        <v>2.4</v>
      </c>
      <c r="Z143" s="20">
        <v>2.2999999999999998</v>
      </c>
      <c r="AA143" s="20">
        <v>2.1</v>
      </c>
      <c r="AB143" s="20">
        <v>2.1</v>
      </c>
    </row>
    <row r="144" spans="1:28" x14ac:dyDescent="0.2">
      <c r="A144" s="22">
        <v>29921</v>
      </c>
      <c r="B144" s="20">
        <v>30.1</v>
      </c>
      <c r="C144" s="20">
        <v>30.6</v>
      </c>
      <c r="D144" s="20">
        <v>29.9</v>
      </c>
      <c r="E144" s="20">
        <v>29.8</v>
      </c>
      <c r="F144" s="20">
        <v>30.7</v>
      </c>
      <c r="G144" s="20">
        <v>31</v>
      </c>
      <c r="H144" s="20">
        <v>33.1</v>
      </c>
      <c r="I144" s="20">
        <v>30.5</v>
      </c>
      <c r="J144" s="187">
        <v>30.2</v>
      </c>
      <c r="K144" s="20">
        <v>11.1</v>
      </c>
      <c r="L144" s="20">
        <v>11.7</v>
      </c>
      <c r="M144" s="20">
        <v>11.6</v>
      </c>
      <c r="N144" s="20">
        <v>11.6</v>
      </c>
      <c r="O144" s="20">
        <v>12.5</v>
      </c>
      <c r="P144" s="20">
        <v>10.7</v>
      </c>
      <c r="Q144" s="20">
        <v>12.2</v>
      </c>
      <c r="R144" s="20">
        <v>11.3</v>
      </c>
      <c r="S144" s="20">
        <v>11</v>
      </c>
      <c r="T144" s="20">
        <v>4.2</v>
      </c>
      <c r="U144" s="20">
        <v>4.4000000000000004</v>
      </c>
      <c r="V144" s="20">
        <v>3.8</v>
      </c>
      <c r="W144" s="20">
        <v>3.8</v>
      </c>
      <c r="X144" s="20">
        <v>4.4000000000000004</v>
      </c>
      <c r="Y144" s="20">
        <v>3.7</v>
      </c>
      <c r="Z144" s="20">
        <v>5.8</v>
      </c>
      <c r="AA144" s="20">
        <v>4.0999999999999996</v>
      </c>
      <c r="AB144" s="20">
        <v>4.0999999999999996</v>
      </c>
    </row>
    <row r="145" spans="1:28" x14ac:dyDescent="0.2">
      <c r="A145" s="22">
        <v>30011</v>
      </c>
      <c r="B145" s="20">
        <v>30.7</v>
      </c>
      <c r="C145" s="20">
        <v>31</v>
      </c>
      <c r="D145" s="20">
        <v>30.6</v>
      </c>
      <c r="E145" s="20">
        <v>30.2</v>
      </c>
      <c r="F145" s="20">
        <v>31</v>
      </c>
      <c r="G145" s="20">
        <v>31.5</v>
      </c>
      <c r="H145" s="20">
        <v>33.6</v>
      </c>
      <c r="I145" s="20">
        <v>31</v>
      </c>
      <c r="J145" s="187">
        <v>30.8</v>
      </c>
      <c r="K145" s="20">
        <v>10</v>
      </c>
      <c r="L145" s="20">
        <v>10.7</v>
      </c>
      <c r="M145" s="20">
        <v>11.7</v>
      </c>
      <c r="N145" s="20">
        <v>10.199999999999999</v>
      </c>
      <c r="O145" s="20">
        <v>11.1</v>
      </c>
      <c r="P145" s="20">
        <v>10.1</v>
      </c>
      <c r="Q145" s="20">
        <v>11.6</v>
      </c>
      <c r="R145" s="20">
        <v>10.7</v>
      </c>
      <c r="S145" s="20">
        <v>10.8</v>
      </c>
      <c r="T145" s="20">
        <v>2</v>
      </c>
      <c r="U145" s="20">
        <v>1.3</v>
      </c>
      <c r="V145" s="20">
        <v>2.2999999999999998</v>
      </c>
      <c r="W145" s="20">
        <v>1.3</v>
      </c>
      <c r="X145" s="20">
        <v>1</v>
      </c>
      <c r="Y145" s="20">
        <v>1.6</v>
      </c>
      <c r="Z145" s="20">
        <v>1.5</v>
      </c>
      <c r="AA145" s="20">
        <v>1.6</v>
      </c>
      <c r="AB145" s="20">
        <v>2</v>
      </c>
    </row>
    <row r="146" spans="1:28" x14ac:dyDescent="0.2">
      <c r="A146" s="22">
        <v>30103</v>
      </c>
      <c r="B146" s="20">
        <v>31.6</v>
      </c>
      <c r="C146" s="20">
        <v>31.7</v>
      </c>
      <c r="D146" s="20">
        <v>31</v>
      </c>
      <c r="E146" s="20">
        <v>31</v>
      </c>
      <c r="F146" s="20">
        <v>31.6</v>
      </c>
      <c r="G146" s="20">
        <v>32.1</v>
      </c>
      <c r="H146" s="20">
        <v>34.200000000000003</v>
      </c>
      <c r="I146" s="20">
        <v>31.9</v>
      </c>
      <c r="J146" s="187">
        <v>31.5</v>
      </c>
      <c r="K146" s="20">
        <v>11.3</v>
      </c>
      <c r="L146" s="20">
        <v>10.8</v>
      </c>
      <c r="M146" s="20">
        <v>10.3</v>
      </c>
      <c r="N146" s="20">
        <v>10.3</v>
      </c>
      <c r="O146" s="20">
        <v>10.9</v>
      </c>
      <c r="P146" s="20">
        <v>9.9</v>
      </c>
      <c r="Q146" s="20">
        <v>11.8</v>
      </c>
      <c r="R146" s="20">
        <v>11.1</v>
      </c>
      <c r="S146" s="20">
        <v>10.9</v>
      </c>
      <c r="T146" s="20">
        <v>2.9</v>
      </c>
      <c r="U146" s="20">
        <v>2.2999999999999998</v>
      </c>
      <c r="V146" s="20">
        <v>1.3</v>
      </c>
      <c r="W146" s="20">
        <v>2.6</v>
      </c>
      <c r="X146" s="20">
        <v>1.9</v>
      </c>
      <c r="Y146" s="20">
        <v>1.9</v>
      </c>
      <c r="Z146" s="20">
        <v>1.8</v>
      </c>
      <c r="AA146" s="20">
        <v>2.9</v>
      </c>
      <c r="AB146" s="20">
        <v>2.2999999999999998</v>
      </c>
    </row>
    <row r="147" spans="1:28" x14ac:dyDescent="0.2">
      <c r="A147" s="22">
        <v>30195</v>
      </c>
      <c r="B147" s="20">
        <v>32.700000000000003</v>
      </c>
      <c r="C147" s="20">
        <v>32.799999999999997</v>
      </c>
      <c r="D147" s="20">
        <v>32</v>
      </c>
      <c r="E147" s="20">
        <v>32.1</v>
      </c>
      <c r="F147" s="20">
        <v>32.799999999999997</v>
      </c>
      <c r="G147" s="20">
        <v>33.1</v>
      </c>
      <c r="H147" s="20">
        <v>35.299999999999997</v>
      </c>
      <c r="I147" s="20">
        <v>32.9</v>
      </c>
      <c r="J147" s="187">
        <v>32.6</v>
      </c>
      <c r="K147" s="20">
        <v>13.1</v>
      </c>
      <c r="L147" s="20">
        <v>11.9</v>
      </c>
      <c r="M147" s="20">
        <v>11.1</v>
      </c>
      <c r="N147" s="20">
        <v>11.8</v>
      </c>
      <c r="O147" s="20">
        <v>11.6</v>
      </c>
      <c r="P147" s="20">
        <v>10.7</v>
      </c>
      <c r="Q147" s="20">
        <v>12.8</v>
      </c>
      <c r="R147" s="20">
        <v>12.3</v>
      </c>
      <c r="S147" s="20">
        <v>12.4</v>
      </c>
      <c r="T147" s="20">
        <v>3.5</v>
      </c>
      <c r="U147" s="20">
        <v>3.5</v>
      </c>
      <c r="V147" s="20">
        <v>3.2</v>
      </c>
      <c r="W147" s="20">
        <v>3.5</v>
      </c>
      <c r="X147" s="20">
        <v>3.8</v>
      </c>
      <c r="Y147" s="20">
        <v>3.1</v>
      </c>
      <c r="Z147" s="20">
        <v>3.2</v>
      </c>
      <c r="AA147" s="20">
        <v>3.1</v>
      </c>
      <c r="AB147" s="20">
        <v>3.5</v>
      </c>
    </row>
    <row r="148" spans="1:28" x14ac:dyDescent="0.2">
      <c r="A148" s="22">
        <v>30286</v>
      </c>
      <c r="B148" s="20">
        <v>33.700000000000003</v>
      </c>
      <c r="C148" s="20">
        <v>33.700000000000003</v>
      </c>
      <c r="D148" s="20">
        <v>33.1</v>
      </c>
      <c r="E148" s="20">
        <v>33</v>
      </c>
      <c r="F148" s="20">
        <v>33.700000000000003</v>
      </c>
      <c r="G148" s="20">
        <v>34.200000000000003</v>
      </c>
      <c r="H148" s="20">
        <v>36.4</v>
      </c>
      <c r="I148" s="20">
        <v>34.200000000000003</v>
      </c>
      <c r="J148" s="187">
        <v>33.6</v>
      </c>
      <c r="K148" s="20">
        <v>12</v>
      </c>
      <c r="L148" s="20">
        <v>10.1</v>
      </c>
      <c r="M148" s="20">
        <v>10.7</v>
      </c>
      <c r="N148" s="20">
        <v>10.7</v>
      </c>
      <c r="O148" s="20">
        <v>9.8000000000000007</v>
      </c>
      <c r="P148" s="20">
        <v>10.3</v>
      </c>
      <c r="Q148" s="20">
        <v>10</v>
      </c>
      <c r="R148" s="20">
        <v>12.1</v>
      </c>
      <c r="S148" s="20">
        <v>11.3</v>
      </c>
      <c r="T148" s="20">
        <v>3.1</v>
      </c>
      <c r="U148" s="20">
        <v>2.7</v>
      </c>
      <c r="V148" s="20">
        <v>3.4</v>
      </c>
      <c r="W148" s="20">
        <v>2.8</v>
      </c>
      <c r="X148" s="20">
        <v>2.7</v>
      </c>
      <c r="Y148" s="20">
        <v>3.3</v>
      </c>
      <c r="Z148" s="20">
        <v>3.1</v>
      </c>
      <c r="AA148" s="20">
        <v>4</v>
      </c>
      <c r="AB148" s="20">
        <v>3.1</v>
      </c>
    </row>
    <row r="149" spans="1:28" x14ac:dyDescent="0.2">
      <c r="A149" s="22">
        <v>30376</v>
      </c>
      <c r="B149" s="20">
        <v>34.4</v>
      </c>
      <c r="C149" s="20">
        <v>34.4</v>
      </c>
      <c r="D149" s="20">
        <v>33.9</v>
      </c>
      <c r="E149" s="20">
        <v>33.9</v>
      </c>
      <c r="F149" s="20">
        <v>34.200000000000003</v>
      </c>
      <c r="G149" s="20">
        <v>35</v>
      </c>
      <c r="H149" s="20">
        <v>37.1</v>
      </c>
      <c r="I149" s="20">
        <v>34.9</v>
      </c>
      <c r="J149" s="187">
        <v>34.299999999999997</v>
      </c>
      <c r="K149" s="20">
        <v>12.1</v>
      </c>
      <c r="L149" s="20">
        <v>11</v>
      </c>
      <c r="M149" s="20">
        <v>10.8</v>
      </c>
      <c r="N149" s="20">
        <v>12.3</v>
      </c>
      <c r="O149" s="20">
        <v>10.3</v>
      </c>
      <c r="P149" s="20">
        <v>11.1</v>
      </c>
      <c r="Q149" s="20">
        <v>10.4</v>
      </c>
      <c r="R149" s="20">
        <v>12.6</v>
      </c>
      <c r="S149" s="20">
        <v>11.4</v>
      </c>
      <c r="T149" s="20">
        <v>2.1</v>
      </c>
      <c r="U149" s="20">
        <v>2.1</v>
      </c>
      <c r="V149" s="20">
        <v>2.4</v>
      </c>
      <c r="W149" s="20">
        <v>2.7</v>
      </c>
      <c r="X149" s="20">
        <v>1.5</v>
      </c>
      <c r="Y149" s="20">
        <v>2.2999999999999998</v>
      </c>
      <c r="Z149" s="20">
        <v>1.9</v>
      </c>
      <c r="AA149" s="20">
        <v>2</v>
      </c>
      <c r="AB149" s="20">
        <v>2.1</v>
      </c>
    </row>
    <row r="150" spans="1:28" x14ac:dyDescent="0.2">
      <c r="A150" s="22">
        <v>30468</v>
      </c>
      <c r="B150" s="20">
        <v>35.1</v>
      </c>
      <c r="C150" s="20">
        <v>35.4</v>
      </c>
      <c r="D150" s="20">
        <v>34.299999999999997</v>
      </c>
      <c r="E150" s="20">
        <v>34.799999999999997</v>
      </c>
      <c r="F150" s="20">
        <v>34.799999999999997</v>
      </c>
      <c r="G150" s="20">
        <v>35.6</v>
      </c>
      <c r="H150" s="20">
        <v>37.799999999999997</v>
      </c>
      <c r="I150" s="20">
        <v>35.5</v>
      </c>
      <c r="J150" s="187">
        <v>35</v>
      </c>
      <c r="K150" s="20">
        <v>11.1</v>
      </c>
      <c r="L150" s="20">
        <v>11.7</v>
      </c>
      <c r="M150" s="20">
        <v>10.6</v>
      </c>
      <c r="N150" s="20">
        <v>12.3</v>
      </c>
      <c r="O150" s="20">
        <v>10.1</v>
      </c>
      <c r="P150" s="20">
        <v>10.9</v>
      </c>
      <c r="Q150" s="20">
        <v>10.5</v>
      </c>
      <c r="R150" s="20">
        <v>11.3</v>
      </c>
      <c r="S150" s="20">
        <v>11.1</v>
      </c>
      <c r="T150" s="20">
        <v>2</v>
      </c>
      <c r="U150" s="20">
        <v>2.9</v>
      </c>
      <c r="V150" s="20">
        <v>1.2</v>
      </c>
      <c r="W150" s="20">
        <v>2.7</v>
      </c>
      <c r="X150" s="20">
        <v>1.8</v>
      </c>
      <c r="Y150" s="20">
        <v>1.7</v>
      </c>
      <c r="Z150" s="20">
        <v>1.9</v>
      </c>
      <c r="AA150" s="20">
        <v>1.7</v>
      </c>
      <c r="AB150" s="20">
        <v>2</v>
      </c>
    </row>
    <row r="151" spans="1:28" x14ac:dyDescent="0.2">
      <c r="A151" s="22">
        <v>30560</v>
      </c>
      <c r="B151" s="20">
        <v>35.5</v>
      </c>
      <c r="C151" s="20">
        <v>35.9</v>
      </c>
      <c r="D151" s="20">
        <v>35.1</v>
      </c>
      <c r="E151" s="20">
        <v>35.299999999999997</v>
      </c>
      <c r="F151" s="20">
        <v>35.799999999999997</v>
      </c>
      <c r="G151" s="20">
        <v>36.1</v>
      </c>
      <c r="H151" s="20">
        <v>38.299999999999997</v>
      </c>
      <c r="I151" s="20">
        <v>36</v>
      </c>
      <c r="J151" s="187">
        <v>35.6</v>
      </c>
      <c r="K151" s="20">
        <v>8.6</v>
      </c>
      <c r="L151" s="20">
        <v>9.5</v>
      </c>
      <c r="M151" s="20">
        <v>9.6999999999999993</v>
      </c>
      <c r="N151" s="20">
        <v>10</v>
      </c>
      <c r="O151" s="20">
        <v>9.1</v>
      </c>
      <c r="P151" s="20">
        <v>9.1</v>
      </c>
      <c r="Q151" s="20">
        <v>8.5</v>
      </c>
      <c r="R151" s="20">
        <v>9.4</v>
      </c>
      <c r="S151" s="20">
        <v>9.1999999999999993</v>
      </c>
      <c r="T151" s="20">
        <v>1.1000000000000001</v>
      </c>
      <c r="U151" s="20">
        <v>1.4</v>
      </c>
      <c r="V151" s="20">
        <v>2.2999999999999998</v>
      </c>
      <c r="W151" s="20">
        <v>1.4</v>
      </c>
      <c r="X151" s="20">
        <v>2.9</v>
      </c>
      <c r="Y151" s="20">
        <v>1.4</v>
      </c>
      <c r="Z151" s="20">
        <v>1.3</v>
      </c>
      <c r="AA151" s="20">
        <v>1.4</v>
      </c>
      <c r="AB151" s="20">
        <v>1.7</v>
      </c>
    </row>
    <row r="152" spans="1:28" x14ac:dyDescent="0.2">
      <c r="A152" s="22">
        <v>30651</v>
      </c>
      <c r="B152" s="20">
        <v>36.200000000000003</v>
      </c>
      <c r="C152" s="20">
        <v>37</v>
      </c>
      <c r="D152" s="20">
        <v>35.799999999999997</v>
      </c>
      <c r="E152" s="20">
        <v>36</v>
      </c>
      <c r="F152" s="20">
        <v>36.5</v>
      </c>
      <c r="G152" s="20">
        <v>36.9</v>
      </c>
      <c r="H152" s="20">
        <v>38.799999999999997</v>
      </c>
      <c r="I152" s="20">
        <v>36.9</v>
      </c>
      <c r="J152" s="187">
        <v>36.5</v>
      </c>
      <c r="K152" s="20">
        <v>7.4</v>
      </c>
      <c r="L152" s="20">
        <v>9.8000000000000007</v>
      </c>
      <c r="M152" s="20">
        <v>8.1999999999999993</v>
      </c>
      <c r="N152" s="20">
        <v>9.1</v>
      </c>
      <c r="O152" s="20">
        <v>8.3000000000000007</v>
      </c>
      <c r="P152" s="20">
        <v>7.9</v>
      </c>
      <c r="Q152" s="20">
        <v>6.6</v>
      </c>
      <c r="R152" s="20">
        <v>7.9</v>
      </c>
      <c r="S152" s="20">
        <v>8.6</v>
      </c>
      <c r="T152" s="20">
        <v>2</v>
      </c>
      <c r="U152" s="20">
        <v>3.1</v>
      </c>
      <c r="V152" s="20">
        <v>2</v>
      </c>
      <c r="W152" s="20">
        <v>2</v>
      </c>
      <c r="X152" s="20">
        <v>2</v>
      </c>
      <c r="Y152" s="20">
        <v>2.2000000000000002</v>
      </c>
      <c r="Z152" s="20">
        <v>1.3</v>
      </c>
      <c r="AA152" s="20">
        <v>2.5</v>
      </c>
      <c r="AB152" s="20">
        <v>2.5</v>
      </c>
    </row>
    <row r="153" spans="1:28" x14ac:dyDescent="0.2">
      <c r="A153" s="22">
        <v>30742</v>
      </c>
      <c r="B153" s="20">
        <v>36.1</v>
      </c>
      <c r="C153" s="20">
        <v>36.799999999999997</v>
      </c>
      <c r="D153" s="20">
        <v>35.9</v>
      </c>
      <c r="E153" s="20">
        <v>36</v>
      </c>
      <c r="F153" s="20">
        <v>36.200000000000003</v>
      </c>
      <c r="G153" s="20">
        <v>37</v>
      </c>
      <c r="H153" s="20">
        <v>39</v>
      </c>
      <c r="I153" s="20">
        <v>36.9</v>
      </c>
      <c r="J153" s="187">
        <v>36.299999999999997</v>
      </c>
      <c r="K153" s="20">
        <v>4.9000000000000004</v>
      </c>
      <c r="L153" s="20">
        <v>7</v>
      </c>
      <c r="M153" s="20">
        <v>5.9</v>
      </c>
      <c r="N153" s="20">
        <v>6.2</v>
      </c>
      <c r="O153" s="20">
        <v>5.8</v>
      </c>
      <c r="P153" s="20">
        <v>5.7</v>
      </c>
      <c r="Q153" s="20">
        <v>5.0999999999999996</v>
      </c>
      <c r="R153" s="20">
        <v>5.7</v>
      </c>
      <c r="S153" s="20">
        <v>5.8</v>
      </c>
      <c r="T153" s="20">
        <v>-0.3</v>
      </c>
      <c r="U153" s="20">
        <v>-0.5</v>
      </c>
      <c r="V153" s="20">
        <v>0.3</v>
      </c>
      <c r="W153" s="20">
        <v>0</v>
      </c>
      <c r="X153" s="20">
        <v>-0.8</v>
      </c>
      <c r="Y153" s="20">
        <v>0.3</v>
      </c>
      <c r="Z153" s="20">
        <v>0.5</v>
      </c>
      <c r="AA153" s="20">
        <v>0</v>
      </c>
      <c r="AB153" s="20">
        <v>-0.5</v>
      </c>
    </row>
    <row r="154" spans="1:28" x14ac:dyDescent="0.2">
      <c r="A154" s="22">
        <v>30834</v>
      </c>
      <c r="B154" s="20">
        <v>36.1</v>
      </c>
      <c r="C154" s="20">
        <v>36.9</v>
      </c>
      <c r="D154" s="20">
        <v>36.200000000000003</v>
      </c>
      <c r="E154" s="20">
        <v>36.1</v>
      </c>
      <c r="F154" s="20">
        <v>36.200000000000003</v>
      </c>
      <c r="G154" s="20">
        <v>37</v>
      </c>
      <c r="H154" s="20">
        <v>39</v>
      </c>
      <c r="I154" s="20">
        <v>37</v>
      </c>
      <c r="J154" s="187">
        <v>36.4</v>
      </c>
      <c r="K154" s="20">
        <v>2.8</v>
      </c>
      <c r="L154" s="20">
        <v>4.2</v>
      </c>
      <c r="M154" s="20">
        <v>5.5</v>
      </c>
      <c r="N154" s="20">
        <v>3.7</v>
      </c>
      <c r="O154" s="20">
        <v>4</v>
      </c>
      <c r="P154" s="20">
        <v>3.9</v>
      </c>
      <c r="Q154" s="20">
        <v>3.2</v>
      </c>
      <c r="R154" s="20">
        <v>4.2</v>
      </c>
      <c r="S154" s="20">
        <v>4</v>
      </c>
      <c r="T154" s="20">
        <v>0</v>
      </c>
      <c r="U154" s="20">
        <v>0.3</v>
      </c>
      <c r="V154" s="20">
        <v>0.8</v>
      </c>
      <c r="W154" s="20">
        <v>0.3</v>
      </c>
      <c r="X154" s="20">
        <v>0</v>
      </c>
      <c r="Y154" s="20">
        <v>0</v>
      </c>
      <c r="Z154" s="20">
        <v>0</v>
      </c>
      <c r="AA154" s="20">
        <v>0.3</v>
      </c>
      <c r="AB154" s="20">
        <v>0.3</v>
      </c>
    </row>
    <row r="155" spans="1:28" x14ac:dyDescent="0.2">
      <c r="A155" s="22">
        <v>30926</v>
      </c>
      <c r="B155" s="20">
        <v>36.5</v>
      </c>
      <c r="C155" s="20">
        <v>37.5</v>
      </c>
      <c r="D155" s="20">
        <v>36.700000000000003</v>
      </c>
      <c r="E155" s="20">
        <v>36.4</v>
      </c>
      <c r="F155" s="20">
        <v>36.799999999999997</v>
      </c>
      <c r="G155" s="20">
        <v>37.4</v>
      </c>
      <c r="H155" s="20">
        <v>39.5</v>
      </c>
      <c r="I155" s="20">
        <v>37.5</v>
      </c>
      <c r="J155" s="187">
        <v>36.9</v>
      </c>
      <c r="K155" s="20">
        <v>2.8</v>
      </c>
      <c r="L155" s="20">
        <v>4.5</v>
      </c>
      <c r="M155" s="20">
        <v>4.5999999999999996</v>
      </c>
      <c r="N155" s="20">
        <v>3.1</v>
      </c>
      <c r="O155" s="20">
        <v>2.8</v>
      </c>
      <c r="P155" s="20">
        <v>3.6</v>
      </c>
      <c r="Q155" s="20">
        <v>3.1</v>
      </c>
      <c r="R155" s="20">
        <v>4.2</v>
      </c>
      <c r="S155" s="20">
        <v>3.7</v>
      </c>
      <c r="T155" s="20">
        <v>1.1000000000000001</v>
      </c>
      <c r="U155" s="20">
        <v>1.6</v>
      </c>
      <c r="V155" s="20">
        <v>1.4</v>
      </c>
      <c r="W155" s="20">
        <v>0.8</v>
      </c>
      <c r="X155" s="20">
        <v>1.7</v>
      </c>
      <c r="Y155" s="20">
        <v>1.1000000000000001</v>
      </c>
      <c r="Z155" s="20">
        <v>1.3</v>
      </c>
      <c r="AA155" s="20">
        <v>1.4</v>
      </c>
      <c r="AB155" s="20">
        <v>1.4</v>
      </c>
    </row>
    <row r="156" spans="1:28" x14ac:dyDescent="0.2">
      <c r="A156" s="22">
        <v>31017</v>
      </c>
      <c r="B156" s="20">
        <v>37.1</v>
      </c>
      <c r="C156" s="20">
        <v>37.9</v>
      </c>
      <c r="D156" s="20">
        <v>37.1</v>
      </c>
      <c r="E156" s="20">
        <v>37.200000000000003</v>
      </c>
      <c r="F156" s="20">
        <v>37.200000000000003</v>
      </c>
      <c r="G156" s="20">
        <v>38.200000000000003</v>
      </c>
      <c r="H156" s="20">
        <v>39.9</v>
      </c>
      <c r="I156" s="20">
        <v>38.1</v>
      </c>
      <c r="J156" s="187">
        <v>37.4</v>
      </c>
      <c r="K156" s="20">
        <v>2.5</v>
      </c>
      <c r="L156" s="20">
        <v>2.4</v>
      </c>
      <c r="M156" s="20">
        <v>3.6</v>
      </c>
      <c r="N156" s="20">
        <v>3.3</v>
      </c>
      <c r="O156" s="20">
        <v>1.9</v>
      </c>
      <c r="P156" s="20">
        <v>3.5</v>
      </c>
      <c r="Q156" s="20">
        <v>2.8</v>
      </c>
      <c r="R156" s="20">
        <v>3.3</v>
      </c>
      <c r="S156" s="20">
        <v>2.5</v>
      </c>
      <c r="T156" s="20">
        <v>1.6</v>
      </c>
      <c r="U156" s="20">
        <v>1.1000000000000001</v>
      </c>
      <c r="V156" s="20">
        <v>1.1000000000000001</v>
      </c>
      <c r="W156" s="20">
        <v>2.2000000000000002</v>
      </c>
      <c r="X156" s="20">
        <v>1.1000000000000001</v>
      </c>
      <c r="Y156" s="20">
        <v>2.1</v>
      </c>
      <c r="Z156" s="20">
        <v>1</v>
      </c>
      <c r="AA156" s="20">
        <v>1.6</v>
      </c>
      <c r="AB156" s="20">
        <v>1.4</v>
      </c>
    </row>
    <row r="157" spans="1:28" x14ac:dyDescent="0.2">
      <c r="A157" s="22">
        <v>31107</v>
      </c>
      <c r="B157" s="20">
        <v>37.6</v>
      </c>
      <c r="C157" s="20">
        <v>38.4</v>
      </c>
      <c r="D157" s="20">
        <v>37.6</v>
      </c>
      <c r="E157" s="20">
        <v>37.700000000000003</v>
      </c>
      <c r="F157" s="20">
        <v>37.799999999999997</v>
      </c>
      <c r="G157" s="20">
        <v>38.799999999999997</v>
      </c>
      <c r="H157" s="20">
        <v>40.299999999999997</v>
      </c>
      <c r="I157" s="20">
        <v>38.700000000000003</v>
      </c>
      <c r="J157" s="187">
        <v>37.9</v>
      </c>
      <c r="K157" s="20">
        <v>4.2</v>
      </c>
      <c r="L157" s="20">
        <v>4.3</v>
      </c>
      <c r="M157" s="20">
        <v>4.7</v>
      </c>
      <c r="N157" s="20">
        <v>4.7</v>
      </c>
      <c r="O157" s="20">
        <v>4.4000000000000004</v>
      </c>
      <c r="P157" s="20">
        <v>4.9000000000000004</v>
      </c>
      <c r="Q157" s="20">
        <v>3.3</v>
      </c>
      <c r="R157" s="20">
        <v>4.9000000000000004</v>
      </c>
      <c r="S157" s="20">
        <v>4.4000000000000004</v>
      </c>
      <c r="T157" s="20">
        <v>1.3</v>
      </c>
      <c r="U157" s="20">
        <v>1.3</v>
      </c>
      <c r="V157" s="20">
        <v>1.3</v>
      </c>
      <c r="W157" s="20">
        <v>1.3</v>
      </c>
      <c r="X157" s="20">
        <v>1.6</v>
      </c>
      <c r="Y157" s="20">
        <v>1.6</v>
      </c>
      <c r="Z157" s="20">
        <v>1</v>
      </c>
      <c r="AA157" s="20">
        <v>1.6</v>
      </c>
      <c r="AB157" s="20">
        <v>1.3</v>
      </c>
    </row>
    <row r="158" spans="1:28" x14ac:dyDescent="0.2">
      <c r="A158" s="22">
        <v>31199</v>
      </c>
      <c r="B158" s="20">
        <v>38.4</v>
      </c>
      <c r="C158" s="20">
        <v>39.5</v>
      </c>
      <c r="D158" s="20">
        <v>38.299999999999997</v>
      </c>
      <c r="E158" s="20">
        <v>38.700000000000003</v>
      </c>
      <c r="F158" s="20">
        <v>38.700000000000003</v>
      </c>
      <c r="G158" s="20">
        <v>39.700000000000003</v>
      </c>
      <c r="H158" s="20">
        <v>41.2</v>
      </c>
      <c r="I158" s="20">
        <v>39.6</v>
      </c>
      <c r="J158" s="187">
        <v>38.799999999999997</v>
      </c>
      <c r="K158" s="20">
        <v>6.4</v>
      </c>
      <c r="L158" s="20">
        <v>7</v>
      </c>
      <c r="M158" s="20">
        <v>5.8</v>
      </c>
      <c r="N158" s="20">
        <v>7.2</v>
      </c>
      <c r="O158" s="20">
        <v>6.9</v>
      </c>
      <c r="P158" s="20">
        <v>7.3</v>
      </c>
      <c r="Q158" s="20">
        <v>5.6</v>
      </c>
      <c r="R158" s="20">
        <v>7</v>
      </c>
      <c r="S158" s="20">
        <v>6.6</v>
      </c>
      <c r="T158" s="20">
        <v>2.1</v>
      </c>
      <c r="U158" s="20">
        <v>2.9</v>
      </c>
      <c r="V158" s="20">
        <v>1.9</v>
      </c>
      <c r="W158" s="20">
        <v>2.7</v>
      </c>
      <c r="X158" s="20">
        <v>2.4</v>
      </c>
      <c r="Y158" s="20">
        <v>2.2999999999999998</v>
      </c>
      <c r="Z158" s="20">
        <v>2.2000000000000002</v>
      </c>
      <c r="AA158" s="20">
        <v>2.2999999999999998</v>
      </c>
      <c r="AB158" s="20">
        <v>2.4</v>
      </c>
    </row>
    <row r="159" spans="1:28" x14ac:dyDescent="0.2">
      <c r="A159" s="22">
        <v>31291</v>
      </c>
      <c r="B159" s="20">
        <v>39.299999999999997</v>
      </c>
      <c r="C159" s="20">
        <v>40.299999999999997</v>
      </c>
      <c r="D159" s="20">
        <v>39.299999999999997</v>
      </c>
      <c r="E159" s="20">
        <v>39.5</v>
      </c>
      <c r="F159" s="20">
        <v>39.4</v>
      </c>
      <c r="G159" s="20">
        <v>40.700000000000003</v>
      </c>
      <c r="H159" s="20">
        <v>42.6</v>
      </c>
      <c r="I159" s="20">
        <v>40.5</v>
      </c>
      <c r="J159" s="187">
        <v>39.700000000000003</v>
      </c>
      <c r="K159" s="20">
        <v>7.7</v>
      </c>
      <c r="L159" s="20">
        <v>7.5</v>
      </c>
      <c r="M159" s="20">
        <v>7.1</v>
      </c>
      <c r="N159" s="20">
        <v>8.5</v>
      </c>
      <c r="O159" s="20">
        <v>7.1</v>
      </c>
      <c r="P159" s="20">
        <v>8.8000000000000007</v>
      </c>
      <c r="Q159" s="20">
        <v>7.8</v>
      </c>
      <c r="R159" s="20">
        <v>8</v>
      </c>
      <c r="S159" s="20">
        <v>7.6</v>
      </c>
      <c r="T159" s="20">
        <v>2.2999999999999998</v>
      </c>
      <c r="U159" s="20">
        <v>2</v>
      </c>
      <c r="V159" s="20">
        <v>2.6</v>
      </c>
      <c r="W159" s="20">
        <v>2.1</v>
      </c>
      <c r="X159" s="20">
        <v>1.8</v>
      </c>
      <c r="Y159" s="20">
        <v>2.5</v>
      </c>
      <c r="Z159" s="20">
        <v>3.4</v>
      </c>
      <c r="AA159" s="20">
        <v>2.2999999999999998</v>
      </c>
      <c r="AB159" s="20">
        <v>2.2999999999999998</v>
      </c>
    </row>
    <row r="160" spans="1:28" x14ac:dyDescent="0.2">
      <c r="A160" s="22">
        <v>31382</v>
      </c>
      <c r="B160" s="20">
        <v>40.200000000000003</v>
      </c>
      <c r="C160" s="20">
        <v>41</v>
      </c>
      <c r="D160" s="20">
        <v>40</v>
      </c>
      <c r="E160" s="20">
        <v>40.4</v>
      </c>
      <c r="F160" s="20">
        <v>40.299999999999997</v>
      </c>
      <c r="G160" s="20">
        <v>41.5</v>
      </c>
      <c r="H160" s="20">
        <v>43.1</v>
      </c>
      <c r="I160" s="20">
        <v>41.4</v>
      </c>
      <c r="J160" s="187">
        <v>40.5</v>
      </c>
      <c r="K160" s="20">
        <v>8.4</v>
      </c>
      <c r="L160" s="20">
        <v>8.1999999999999993</v>
      </c>
      <c r="M160" s="20">
        <v>7.8</v>
      </c>
      <c r="N160" s="20">
        <v>8.6</v>
      </c>
      <c r="O160" s="20">
        <v>8.3000000000000007</v>
      </c>
      <c r="P160" s="20">
        <v>8.6</v>
      </c>
      <c r="Q160" s="20">
        <v>8</v>
      </c>
      <c r="R160" s="20">
        <v>8.6999999999999993</v>
      </c>
      <c r="S160" s="20">
        <v>8.3000000000000007</v>
      </c>
      <c r="T160" s="20">
        <v>2.2999999999999998</v>
      </c>
      <c r="U160" s="20">
        <v>1.7</v>
      </c>
      <c r="V160" s="20">
        <v>1.8</v>
      </c>
      <c r="W160" s="20">
        <v>2.2999999999999998</v>
      </c>
      <c r="X160" s="20">
        <v>2.2999999999999998</v>
      </c>
      <c r="Y160" s="20">
        <v>2</v>
      </c>
      <c r="Z160" s="20">
        <v>1.2</v>
      </c>
      <c r="AA160" s="20">
        <v>2.2000000000000002</v>
      </c>
      <c r="AB160" s="20">
        <v>2</v>
      </c>
    </row>
    <row r="161" spans="1:28" x14ac:dyDescent="0.2">
      <c r="A161" s="22">
        <v>31472</v>
      </c>
      <c r="B161" s="20">
        <v>41.1</v>
      </c>
      <c r="C161" s="20">
        <v>42.1</v>
      </c>
      <c r="D161" s="20">
        <v>41</v>
      </c>
      <c r="E161" s="20">
        <v>41</v>
      </c>
      <c r="F161" s="20">
        <v>41</v>
      </c>
      <c r="G161" s="20">
        <v>42.2</v>
      </c>
      <c r="H161" s="20">
        <v>43.9</v>
      </c>
      <c r="I161" s="20">
        <v>42.3</v>
      </c>
      <c r="J161" s="187">
        <v>41.4</v>
      </c>
      <c r="K161" s="20">
        <v>9.3000000000000007</v>
      </c>
      <c r="L161" s="20">
        <v>9.6</v>
      </c>
      <c r="M161" s="20">
        <v>9</v>
      </c>
      <c r="N161" s="20">
        <v>8.8000000000000007</v>
      </c>
      <c r="O161" s="20">
        <v>8.5</v>
      </c>
      <c r="P161" s="20">
        <v>8.8000000000000007</v>
      </c>
      <c r="Q161" s="20">
        <v>8.9</v>
      </c>
      <c r="R161" s="20">
        <v>9.3000000000000007</v>
      </c>
      <c r="S161" s="20">
        <v>9.1999999999999993</v>
      </c>
      <c r="T161" s="20">
        <v>2.2000000000000002</v>
      </c>
      <c r="U161" s="20">
        <v>2.7</v>
      </c>
      <c r="V161" s="20">
        <v>2.5</v>
      </c>
      <c r="W161" s="20">
        <v>1.5</v>
      </c>
      <c r="X161" s="20">
        <v>1.7</v>
      </c>
      <c r="Y161" s="20">
        <v>1.7</v>
      </c>
      <c r="Z161" s="20">
        <v>1.9</v>
      </c>
      <c r="AA161" s="20">
        <v>2.2000000000000002</v>
      </c>
      <c r="AB161" s="20">
        <v>2.2000000000000002</v>
      </c>
    </row>
    <row r="162" spans="1:28" x14ac:dyDescent="0.2">
      <c r="A162" s="22">
        <v>31564</v>
      </c>
      <c r="B162" s="20">
        <v>41.8</v>
      </c>
      <c r="C162" s="20">
        <v>42.8</v>
      </c>
      <c r="D162" s="20">
        <v>41.4</v>
      </c>
      <c r="E162" s="20">
        <v>41.8</v>
      </c>
      <c r="F162" s="20">
        <v>41.7</v>
      </c>
      <c r="G162" s="20">
        <v>43.1</v>
      </c>
      <c r="H162" s="20">
        <v>44.4</v>
      </c>
      <c r="I162" s="20">
        <v>43</v>
      </c>
      <c r="J162" s="187">
        <v>42.1</v>
      </c>
      <c r="K162" s="20">
        <v>8.9</v>
      </c>
      <c r="L162" s="20">
        <v>8.4</v>
      </c>
      <c r="M162" s="20">
        <v>8.1</v>
      </c>
      <c r="N162" s="20">
        <v>8</v>
      </c>
      <c r="O162" s="20">
        <v>7.8</v>
      </c>
      <c r="P162" s="20">
        <v>8.6</v>
      </c>
      <c r="Q162" s="20">
        <v>7.8</v>
      </c>
      <c r="R162" s="20">
        <v>8.6</v>
      </c>
      <c r="S162" s="20">
        <v>8.5</v>
      </c>
      <c r="T162" s="20">
        <v>1.7</v>
      </c>
      <c r="U162" s="20">
        <v>1.7</v>
      </c>
      <c r="V162" s="20">
        <v>1</v>
      </c>
      <c r="W162" s="20">
        <v>2</v>
      </c>
      <c r="X162" s="20">
        <v>1.7</v>
      </c>
      <c r="Y162" s="20">
        <v>2.1</v>
      </c>
      <c r="Z162" s="20">
        <v>1.1000000000000001</v>
      </c>
      <c r="AA162" s="20">
        <v>1.7</v>
      </c>
      <c r="AB162" s="20">
        <v>1.7</v>
      </c>
    </row>
    <row r="163" spans="1:28" x14ac:dyDescent="0.2">
      <c r="A163" s="22">
        <v>31656</v>
      </c>
      <c r="B163" s="20">
        <v>42.8</v>
      </c>
      <c r="C163" s="20">
        <v>43.9</v>
      </c>
      <c r="D163" s="20">
        <v>42.5</v>
      </c>
      <c r="E163" s="20">
        <v>43</v>
      </c>
      <c r="F163" s="20">
        <v>43.1</v>
      </c>
      <c r="G163" s="20">
        <v>44.2</v>
      </c>
      <c r="H163" s="20">
        <v>45.6</v>
      </c>
      <c r="I163" s="20">
        <v>43.9</v>
      </c>
      <c r="J163" s="187">
        <v>43.2</v>
      </c>
      <c r="K163" s="20">
        <v>8.9</v>
      </c>
      <c r="L163" s="20">
        <v>8.9</v>
      </c>
      <c r="M163" s="20">
        <v>8.1</v>
      </c>
      <c r="N163" s="20">
        <v>8.9</v>
      </c>
      <c r="O163" s="20">
        <v>9.4</v>
      </c>
      <c r="P163" s="20">
        <v>8.6</v>
      </c>
      <c r="Q163" s="20">
        <v>7</v>
      </c>
      <c r="R163" s="20">
        <v>8.4</v>
      </c>
      <c r="S163" s="20">
        <v>8.8000000000000007</v>
      </c>
      <c r="T163" s="20">
        <v>2.4</v>
      </c>
      <c r="U163" s="20">
        <v>2.6</v>
      </c>
      <c r="V163" s="20">
        <v>2.7</v>
      </c>
      <c r="W163" s="20">
        <v>2.9</v>
      </c>
      <c r="X163" s="20">
        <v>3.4</v>
      </c>
      <c r="Y163" s="20">
        <v>2.6</v>
      </c>
      <c r="Z163" s="20">
        <v>2.7</v>
      </c>
      <c r="AA163" s="20">
        <v>2.1</v>
      </c>
      <c r="AB163" s="20">
        <v>2.6</v>
      </c>
    </row>
    <row r="164" spans="1:28" x14ac:dyDescent="0.2">
      <c r="A164" s="22">
        <v>31747</v>
      </c>
      <c r="B164" s="20">
        <v>44.1</v>
      </c>
      <c r="C164" s="20">
        <v>45.2</v>
      </c>
      <c r="D164" s="20">
        <v>43.6</v>
      </c>
      <c r="E164" s="20">
        <v>44.1</v>
      </c>
      <c r="F164" s="20">
        <v>44.4</v>
      </c>
      <c r="G164" s="20">
        <v>45.7</v>
      </c>
      <c r="H164" s="20">
        <v>47.2</v>
      </c>
      <c r="I164" s="20">
        <v>45</v>
      </c>
      <c r="J164" s="187">
        <v>44.4</v>
      </c>
      <c r="K164" s="20">
        <v>9.6999999999999993</v>
      </c>
      <c r="L164" s="20">
        <v>10.199999999999999</v>
      </c>
      <c r="M164" s="20">
        <v>9</v>
      </c>
      <c r="N164" s="20">
        <v>9.1999999999999993</v>
      </c>
      <c r="O164" s="20">
        <v>10.199999999999999</v>
      </c>
      <c r="P164" s="20">
        <v>10.1</v>
      </c>
      <c r="Q164" s="20">
        <v>9.5</v>
      </c>
      <c r="R164" s="20">
        <v>8.6999999999999993</v>
      </c>
      <c r="S164" s="20">
        <v>9.6</v>
      </c>
      <c r="T164" s="20">
        <v>3</v>
      </c>
      <c r="U164" s="20">
        <v>3</v>
      </c>
      <c r="V164" s="20">
        <v>2.6</v>
      </c>
      <c r="W164" s="20">
        <v>2.6</v>
      </c>
      <c r="X164" s="20">
        <v>3</v>
      </c>
      <c r="Y164" s="20">
        <v>3.4</v>
      </c>
      <c r="Z164" s="20">
        <v>3.5</v>
      </c>
      <c r="AA164" s="20">
        <v>2.5</v>
      </c>
      <c r="AB164" s="20">
        <v>2.8</v>
      </c>
    </row>
    <row r="165" spans="1:28" x14ac:dyDescent="0.2">
      <c r="A165" s="22">
        <v>31837</v>
      </c>
      <c r="B165" s="20">
        <v>45</v>
      </c>
      <c r="C165" s="20">
        <v>46</v>
      </c>
      <c r="D165" s="20">
        <v>44.5</v>
      </c>
      <c r="E165" s="20">
        <v>44.9</v>
      </c>
      <c r="F165" s="20">
        <v>45.2</v>
      </c>
      <c r="G165" s="20">
        <v>46.6</v>
      </c>
      <c r="H165" s="20">
        <v>48</v>
      </c>
      <c r="I165" s="20">
        <v>45.8</v>
      </c>
      <c r="J165" s="187">
        <v>45.3</v>
      </c>
      <c r="K165" s="20">
        <v>9.5</v>
      </c>
      <c r="L165" s="20">
        <v>9.3000000000000007</v>
      </c>
      <c r="M165" s="20">
        <v>8.5</v>
      </c>
      <c r="N165" s="20">
        <v>9.5</v>
      </c>
      <c r="O165" s="20">
        <v>10.199999999999999</v>
      </c>
      <c r="P165" s="20">
        <v>10.4</v>
      </c>
      <c r="Q165" s="20">
        <v>9.3000000000000007</v>
      </c>
      <c r="R165" s="20">
        <v>8.3000000000000007</v>
      </c>
      <c r="S165" s="20">
        <v>9.4</v>
      </c>
      <c r="T165" s="20">
        <v>2</v>
      </c>
      <c r="U165" s="20">
        <v>1.8</v>
      </c>
      <c r="V165" s="20">
        <v>2.1</v>
      </c>
      <c r="W165" s="20">
        <v>1.8</v>
      </c>
      <c r="X165" s="20">
        <v>1.8</v>
      </c>
      <c r="Y165" s="20">
        <v>2</v>
      </c>
      <c r="Z165" s="20">
        <v>1.7</v>
      </c>
      <c r="AA165" s="20">
        <v>1.8</v>
      </c>
      <c r="AB165" s="20">
        <v>2</v>
      </c>
    </row>
    <row r="166" spans="1:28" x14ac:dyDescent="0.2">
      <c r="A166" s="22">
        <v>31929</v>
      </c>
      <c r="B166" s="20">
        <v>45.7</v>
      </c>
      <c r="C166" s="20">
        <v>46.8</v>
      </c>
      <c r="D166" s="20">
        <v>45.1</v>
      </c>
      <c r="E166" s="20">
        <v>45.6</v>
      </c>
      <c r="F166" s="20">
        <v>46</v>
      </c>
      <c r="G166" s="20">
        <v>47.4</v>
      </c>
      <c r="H166" s="20">
        <v>48.8</v>
      </c>
      <c r="I166" s="20">
        <v>46.5</v>
      </c>
      <c r="J166" s="187">
        <v>46</v>
      </c>
      <c r="K166" s="20">
        <v>9.3000000000000007</v>
      </c>
      <c r="L166" s="20">
        <v>9.3000000000000007</v>
      </c>
      <c r="M166" s="20">
        <v>8.9</v>
      </c>
      <c r="N166" s="20">
        <v>9.1</v>
      </c>
      <c r="O166" s="20">
        <v>10.3</v>
      </c>
      <c r="P166" s="20">
        <v>10</v>
      </c>
      <c r="Q166" s="20">
        <v>9.9</v>
      </c>
      <c r="R166" s="20">
        <v>8.1</v>
      </c>
      <c r="S166" s="20">
        <v>9.3000000000000007</v>
      </c>
      <c r="T166" s="20">
        <v>1.6</v>
      </c>
      <c r="U166" s="20">
        <v>1.7</v>
      </c>
      <c r="V166" s="20">
        <v>1.3</v>
      </c>
      <c r="W166" s="20">
        <v>1.6</v>
      </c>
      <c r="X166" s="20">
        <v>1.8</v>
      </c>
      <c r="Y166" s="20">
        <v>1.7</v>
      </c>
      <c r="Z166" s="20">
        <v>1.7</v>
      </c>
      <c r="AA166" s="20">
        <v>1.5</v>
      </c>
      <c r="AB166" s="20">
        <v>1.5</v>
      </c>
    </row>
    <row r="167" spans="1:28" x14ac:dyDescent="0.2">
      <c r="A167" s="22">
        <v>32021</v>
      </c>
      <c r="B167" s="20">
        <v>46.5</v>
      </c>
      <c r="C167" s="20">
        <v>47.6</v>
      </c>
      <c r="D167" s="20">
        <v>45.7</v>
      </c>
      <c r="E167" s="20">
        <v>46.1</v>
      </c>
      <c r="F167" s="20">
        <v>46.7</v>
      </c>
      <c r="G167" s="20">
        <v>48.2</v>
      </c>
      <c r="H167" s="20">
        <v>49.6</v>
      </c>
      <c r="I167" s="20">
        <v>47.1</v>
      </c>
      <c r="J167" s="187">
        <v>46.8</v>
      </c>
      <c r="K167" s="20">
        <v>8.6</v>
      </c>
      <c r="L167" s="20">
        <v>8.4</v>
      </c>
      <c r="M167" s="20">
        <v>7.5</v>
      </c>
      <c r="N167" s="20">
        <v>7.2</v>
      </c>
      <c r="O167" s="20">
        <v>8.4</v>
      </c>
      <c r="P167" s="20">
        <v>9</v>
      </c>
      <c r="Q167" s="20">
        <v>8.8000000000000007</v>
      </c>
      <c r="R167" s="20">
        <v>7.3</v>
      </c>
      <c r="S167" s="20">
        <v>8.3000000000000007</v>
      </c>
      <c r="T167" s="20">
        <v>1.8</v>
      </c>
      <c r="U167" s="20">
        <v>1.7</v>
      </c>
      <c r="V167" s="20">
        <v>1.3</v>
      </c>
      <c r="W167" s="20">
        <v>1.1000000000000001</v>
      </c>
      <c r="X167" s="20">
        <v>1.5</v>
      </c>
      <c r="Y167" s="20">
        <v>1.7</v>
      </c>
      <c r="Z167" s="20">
        <v>1.6</v>
      </c>
      <c r="AA167" s="20">
        <v>1.3</v>
      </c>
      <c r="AB167" s="20">
        <v>1.7</v>
      </c>
    </row>
    <row r="168" spans="1:28" x14ac:dyDescent="0.2">
      <c r="A168" s="22">
        <v>32112</v>
      </c>
      <c r="B168" s="20">
        <v>47.2</v>
      </c>
      <c r="C168" s="20">
        <v>48.4</v>
      </c>
      <c r="D168" s="20">
        <v>46.6</v>
      </c>
      <c r="E168" s="20">
        <v>47.1</v>
      </c>
      <c r="F168" s="20">
        <v>47.5</v>
      </c>
      <c r="G168" s="20">
        <v>49</v>
      </c>
      <c r="H168" s="20">
        <v>50.4</v>
      </c>
      <c r="I168" s="20">
        <v>48</v>
      </c>
      <c r="J168" s="187">
        <v>47.6</v>
      </c>
      <c r="K168" s="20">
        <v>7</v>
      </c>
      <c r="L168" s="20">
        <v>7.1</v>
      </c>
      <c r="M168" s="20">
        <v>6.9</v>
      </c>
      <c r="N168" s="20">
        <v>6.8</v>
      </c>
      <c r="O168" s="20">
        <v>7</v>
      </c>
      <c r="P168" s="20">
        <v>7.2</v>
      </c>
      <c r="Q168" s="20">
        <v>6.8</v>
      </c>
      <c r="R168" s="20">
        <v>6.7</v>
      </c>
      <c r="S168" s="20">
        <v>7.2</v>
      </c>
      <c r="T168" s="20">
        <v>1.5</v>
      </c>
      <c r="U168" s="20">
        <v>1.7</v>
      </c>
      <c r="V168" s="20">
        <v>2</v>
      </c>
      <c r="W168" s="20">
        <v>2.2000000000000002</v>
      </c>
      <c r="X168" s="20">
        <v>1.7</v>
      </c>
      <c r="Y168" s="20">
        <v>1.7</v>
      </c>
      <c r="Z168" s="20">
        <v>1.6</v>
      </c>
      <c r="AA168" s="20">
        <v>1.9</v>
      </c>
      <c r="AB168" s="20">
        <v>1.7</v>
      </c>
    </row>
    <row r="169" spans="1:28" x14ac:dyDescent="0.2">
      <c r="A169" s="22">
        <v>32203</v>
      </c>
      <c r="B169" s="20">
        <v>48.3</v>
      </c>
      <c r="C169" s="20">
        <v>49.1</v>
      </c>
      <c r="D169" s="20">
        <v>47.4</v>
      </c>
      <c r="E169" s="20">
        <v>47.7</v>
      </c>
      <c r="F169" s="20">
        <v>48.2</v>
      </c>
      <c r="G169" s="20">
        <v>49.8</v>
      </c>
      <c r="H169" s="20">
        <v>51.1</v>
      </c>
      <c r="I169" s="20">
        <v>48.9</v>
      </c>
      <c r="J169" s="187">
        <v>48.4</v>
      </c>
      <c r="K169" s="20">
        <v>7.3</v>
      </c>
      <c r="L169" s="20">
        <v>6.7</v>
      </c>
      <c r="M169" s="20">
        <v>6.5</v>
      </c>
      <c r="N169" s="20">
        <v>6.2</v>
      </c>
      <c r="O169" s="20">
        <v>6.6</v>
      </c>
      <c r="P169" s="20">
        <v>6.9</v>
      </c>
      <c r="Q169" s="20">
        <v>6.5</v>
      </c>
      <c r="R169" s="20">
        <v>6.8</v>
      </c>
      <c r="S169" s="20">
        <v>6.8</v>
      </c>
      <c r="T169" s="20">
        <v>2.2999999999999998</v>
      </c>
      <c r="U169" s="20">
        <v>1.4</v>
      </c>
      <c r="V169" s="20">
        <v>1.7</v>
      </c>
      <c r="W169" s="20">
        <v>1.3</v>
      </c>
      <c r="X169" s="20">
        <v>1.5</v>
      </c>
      <c r="Y169" s="20">
        <v>1.6</v>
      </c>
      <c r="Z169" s="20">
        <v>1.4</v>
      </c>
      <c r="AA169" s="20">
        <v>1.9</v>
      </c>
      <c r="AB169" s="20">
        <v>1.7</v>
      </c>
    </row>
    <row r="170" spans="1:28" x14ac:dyDescent="0.2">
      <c r="A170" s="22">
        <v>32295</v>
      </c>
      <c r="B170" s="20">
        <v>49</v>
      </c>
      <c r="C170" s="20">
        <v>50.1</v>
      </c>
      <c r="D170" s="20">
        <v>48.3</v>
      </c>
      <c r="E170" s="20">
        <v>48.5</v>
      </c>
      <c r="F170" s="20">
        <v>49.1</v>
      </c>
      <c r="G170" s="20">
        <v>50.5</v>
      </c>
      <c r="H170" s="20">
        <v>51.9</v>
      </c>
      <c r="I170" s="20">
        <v>49.8</v>
      </c>
      <c r="J170" s="187">
        <v>49.3</v>
      </c>
      <c r="K170" s="20">
        <v>7.2</v>
      </c>
      <c r="L170" s="20">
        <v>7.1</v>
      </c>
      <c r="M170" s="20">
        <v>7.1</v>
      </c>
      <c r="N170" s="20">
        <v>6.4</v>
      </c>
      <c r="O170" s="20">
        <v>6.7</v>
      </c>
      <c r="P170" s="20">
        <v>6.5</v>
      </c>
      <c r="Q170" s="20">
        <v>6.4</v>
      </c>
      <c r="R170" s="20">
        <v>7.1</v>
      </c>
      <c r="S170" s="20">
        <v>7.2</v>
      </c>
      <c r="T170" s="20">
        <v>1.4</v>
      </c>
      <c r="U170" s="20">
        <v>2</v>
      </c>
      <c r="V170" s="20">
        <v>1.9</v>
      </c>
      <c r="W170" s="20">
        <v>1.7</v>
      </c>
      <c r="X170" s="20">
        <v>1.9</v>
      </c>
      <c r="Y170" s="20">
        <v>1.4</v>
      </c>
      <c r="Z170" s="20">
        <v>1.6</v>
      </c>
      <c r="AA170" s="20">
        <v>1.8</v>
      </c>
      <c r="AB170" s="20">
        <v>1.9</v>
      </c>
    </row>
    <row r="171" spans="1:28" x14ac:dyDescent="0.2">
      <c r="A171" s="22">
        <v>32387</v>
      </c>
      <c r="B171" s="20">
        <v>50.3</v>
      </c>
      <c r="C171" s="20">
        <v>50.8</v>
      </c>
      <c r="D171" s="20">
        <v>49</v>
      </c>
      <c r="E171" s="20">
        <v>49.5</v>
      </c>
      <c r="F171" s="20">
        <v>50.1</v>
      </c>
      <c r="G171" s="20">
        <v>51.1</v>
      </c>
      <c r="H171" s="20">
        <v>52.2</v>
      </c>
      <c r="I171" s="20">
        <v>50.4</v>
      </c>
      <c r="J171" s="187">
        <v>50.2</v>
      </c>
      <c r="K171" s="20">
        <v>8.1999999999999993</v>
      </c>
      <c r="L171" s="20">
        <v>6.7</v>
      </c>
      <c r="M171" s="20">
        <v>7.2</v>
      </c>
      <c r="N171" s="20">
        <v>7.4</v>
      </c>
      <c r="O171" s="20">
        <v>7.3</v>
      </c>
      <c r="P171" s="20">
        <v>6</v>
      </c>
      <c r="Q171" s="20">
        <v>5.2</v>
      </c>
      <c r="R171" s="20">
        <v>7</v>
      </c>
      <c r="S171" s="20">
        <v>7.3</v>
      </c>
      <c r="T171" s="20">
        <v>2.7</v>
      </c>
      <c r="U171" s="20">
        <v>1.4</v>
      </c>
      <c r="V171" s="20">
        <v>1.4</v>
      </c>
      <c r="W171" s="20">
        <v>2.1</v>
      </c>
      <c r="X171" s="20">
        <v>2</v>
      </c>
      <c r="Y171" s="20">
        <v>1.2</v>
      </c>
      <c r="Z171" s="20">
        <v>0.6</v>
      </c>
      <c r="AA171" s="20">
        <v>1.2</v>
      </c>
      <c r="AB171" s="20">
        <v>1.8</v>
      </c>
    </row>
    <row r="172" spans="1:28" x14ac:dyDescent="0.2">
      <c r="A172" s="22">
        <v>32478</v>
      </c>
      <c r="B172" s="20">
        <v>51.6</v>
      </c>
      <c r="C172" s="20">
        <v>51.7</v>
      </c>
      <c r="D172" s="20">
        <v>49.9</v>
      </c>
      <c r="E172" s="20">
        <v>50.3</v>
      </c>
      <c r="F172" s="20">
        <v>51.1</v>
      </c>
      <c r="G172" s="20">
        <v>51.9</v>
      </c>
      <c r="H172" s="20">
        <v>52.8</v>
      </c>
      <c r="I172" s="20">
        <v>51.3</v>
      </c>
      <c r="J172" s="187">
        <v>51.2</v>
      </c>
      <c r="K172" s="20">
        <v>9.3000000000000007</v>
      </c>
      <c r="L172" s="20">
        <v>6.8</v>
      </c>
      <c r="M172" s="20">
        <v>7.1</v>
      </c>
      <c r="N172" s="20">
        <v>6.8</v>
      </c>
      <c r="O172" s="20">
        <v>7.6</v>
      </c>
      <c r="P172" s="20">
        <v>5.9</v>
      </c>
      <c r="Q172" s="20">
        <v>4.8</v>
      </c>
      <c r="R172" s="20">
        <v>6.9</v>
      </c>
      <c r="S172" s="20">
        <v>7.6</v>
      </c>
      <c r="T172" s="20">
        <v>2.6</v>
      </c>
      <c r="U172" s="20">
        <v>1.8</v>
      </c>
      <c r="V172" s="20">
        <v>1.8</v>
      </c>
      <c r="W172" s="20">
        <v>1.6</v>
      </c>
      <c r="X172" s="20">
        <v>2</v>
      </c>
      <c r="Y172" s="20">
        <v>1.6</v>
      </c>
      <c r="Z172" s="20">
        <v>1.1000000000000001</v>
      </c>
      <c r="AA172" s="20">
        <v>1.8</v>
      </c>
      <c r="AB172" s="20">
        <v>2</v>
      </c>
    </row>
    <row r="173" spans="1:28" x14ac:dyDescent="0.2">
      <c r="A173" s="22">
        <v>32568</v>
      </c>
      <c r="B173" s="20">
        <v>51.7</v>
      </c>
      <c r="C173" s="20">
        <v>52.4</v>
      </c>
      <c r="D173" s="20">
        <v>50.6</v>
      </c>
      <c r="E173" s="20">
        <v>51.3</v>
      </c>
      <c r="F173" s="20">
        <v>51.6</v>
      </c>
      <c r="G173" s="20">
        <v>52.9</v>
      </c>
      <c r="H173" s="20">
        <v>53.5</v>
      </c>
      <c r="I173" s="20">
        <v>51.9</v>
      </c>
      <c r="J173" s="187">
        <v>51.7</v>
      </c>
      <c r="K173" s="20">
        <v>7</v>
      </c>
      <c r="L173" s="20">
        <v>6.7</v>
      </c>
      <c r="M173" s="20">
        <v>6.8</v>
      </c>
      <c r="N173" s="20">
        <v>7.5</v>
      </c>
      <c r="O173" s="20">
        <v>7.1</v>
      </c>
      <c r="P173" s="20">
        <v>6.2</v>
      </c>
      <c r="Q173" s="20">
        <v>4.7</v>
      </c>
      <c r="R173" s="20">
        <v>6.1</v>
      </c>
      <c r="S173" s="20">
        <v>6.8</v>
      </c>
      <c r="T173" s="20">
        <v>0.2</v>
      </c>
      <c r="U173" s="20">
        <v>1.4</v>
      </c>
      <c r="V173" s="20">
        <v>1.4</v>
      </c>
      <c r="W173" s="20">
        <v>2</v>
      </c>
      <c r="X173" s="20">
        <v>1</v>
      </c>
      <c r="Y173" s="20">
        <v>1.9</v>
      </c>
      <c r="Z173" s="20">
        <v>1.3</v>
      </c>
      <c r="AA173" s="20">
        <v>1.2</v>
      </c>
      <c r="AB173" s="20">
        <v>1</v>
      </c>
    </row>
    <row r="174" spans="1:28" x14ac:dyDescent="0.2">
      <c r="A174" s="22">
        <v>32660</v>
      </c>
      <c r="B174" s="20">
        <v>52.9</v>
      </c>
      <c r="C174" s="20">
        <v>53.8</v>
      </c>
      <c r="D174" s="20">
        <v>51.8</v>
      </c>
      <c r="E174" s="20">
        <v>52.3</v>
      </c>
      <c r="F174" s="20">
        <v>52.8</v>
      </c>
      <c r="G174" s="20">
        <v>53.9</v>
      </c>
      <c r="H174" s="20">
        <v>54.4</v>
      </c>
      <c r="I174" s="20">
        <v>53.1</v>
      </c>
      <c r="J174" s="187">
        <v>53</v>
      </c>
      <c r="K174" s="20">
        <v>8</v>
      </c>
      <c r="L174" s="20">
        <v>7.4</v>
      </c>
      <c r="M174" s="20">
        <v>7.2</v>
      </c>
      <c r="N174" s="20">
        <v>7.8</v>
      </c>
      <c r="O174" s="20">
        <v>7.5</v>
      </c>
      <c r="P174" s="20">
        <v>6.7</v>
      </c>
      <c r="Q174" s="20">
        <v>4.8</v>
      </c>
      <c r="R174" s="20">
        <v>6.6</v>
      </c>
      <c r="S174" s="20">
        <v>7.5</v>
      </c>
      <c r="T174" s="20">
        <v>2.2999999999999998</v>
      </c>
      <c r="U174" s="20">
        <v>2.7</v>
      </c>
      <c r="V174" s="20">
        <v>2.4</v>
      </c>
      <c r="W174" s="20">
        <v>1.9</v>
      </c>
      <c r="X174" s="20">
        <v>2.2999999999999998</v>
      </c>
      <c r="Y174" s="20">
        <v>1.9</v>
      </c>
      <c r="Z174" s="20">
        <v>1.7</v>
      </c>
      <c r="AA174" s="20">
        <v>2.2999999999999998</v>
      </c>
      <c r="AB174" s="20">
        <v>2.5</v>
      </c>
    </row>
    <row r="175" spans="1:28" x14ac:dyDescent="0.2">
      <c r="A175" s="22">
        <v>32752</v>
      </c>
      <c r="B175" s="20">
        <v>54.4</v>
      </c>
      <c r="C175" s="20">
        <v>55</v>
      </c>
      <c r="D175" s="20">
        <v>52.8</v>
      </c>
      <c r="E175" s="20">
        <v>53.2</v>
      </c>
      <c r="F175" s="20">
        <v>54</v>
      </c>
      <c r="G175" s="20">
        <v>54.8</v>
      </c>
      <c r="H175" s="20">
        <v>55.2</v>
      </c>
      <c r="I175" s="20">
        <v>53.9</v>
      </c>
      <c r="J175" s="187">
        <v>54.2</v>
      </c>
      <c r="K175" s="20">
        <v>8.1999999999999993</v>
      </c>
      <c r="L175" s="20">
        <v>8.3000000000000007</v>
      </c>
      <c r="M175" s="20">
        <v>7.8</v>
      </c>
      <c r="N175" s="20">
        <v>7.5</v>
      </c>
      <c r="O175" s="20">
        <v>7.8</v>
      </c>
      <c r="P175" s="20">
        <v>7.2</v>
      </c>
      <c r="Q175" s="20">
        <v>5.7</v>
      </c>
      <c r="R175" s="20">
        <v>6.9</v>
      </c>
      <c r="S175" s="20">
        <v>8</v>
      </c>
      <c r="T175" s="20">
        <v>2.8</v>
      </c>
      <c r="U175" s="20">
        <v>2.2000000000000002</v>
      </c>
      <c r="V175" s="20">
        <v>1.9</v>
      </c>
      <c r="W175" s="20">
        <v>1.7</v>
      </c>
      <c r="X175" s="20">
        <v>2.2999999999999998</v>
      </c>
      <c r="Y175" s="20">
        <v>1.7</v>
      </c>
      <c r="Z175" s="20">
        <v>1.5</v>
      </c>
      <c r="AA175" s="20">
        <v>1.5</v>
      </c>
      <c r="AB175" s="20">
        <v>2.2999999999999998</v>
      </c>
    </row>
    <row r="176" spans="1:28" x14ac:dyDescent="0.2">
      <c r="A176" s="22">
        <v>32843</v>
      </c>
      <c r="B176" s="20">
        <v>55.4</v>
      </c>
      <c r="C176" s="20">
        <v>56</v>
      </c>
      <c r="D176" s="20">
        <v>53.7</v>
      </c>
      <c r="E176" s="20">
        <v>54</v>
      </c>
      <c r="F176" s="20">
        <v>55.1</v>
      </c>
      <c r="G176" s="20">
        <v>55.8</v>
      </c>
      <c r="H176" s="20">
        <v>56.2</v>
      </c>
      <c r="I176" s="20">
        <v>55.1</v>
      </c>
      <c r="J176" s="187">
        <v>55.2</v>
      </c>
      <c r="K176" s="20">
        <v>7.4</v>
      </c>
      <c r="L176" s="20">
        <v>8.3000000000000007</v>
      </c>
      <c r="M176" s="20">
        <v>7.6</v>
      </c>
      <c r="N176" s="20">
        <v>7.4</v>
      </c>
      <c r="O176" s="20">
        <v>7.8</v>
      </c>
      <c r="P176" s="20">
        <v>7.5</v>
      </c>
      <c r="Q176" s="20">
        <v>6.4</v>
      </c>
      <c r="R176" s="20">
        <v>7.4</v>
      </c>
      <c r="S176" s="20">
        <v>7.8</v>
      </c>
      <c r="T176" s="20">
        <v>1.8</v>
      </c>
      <c r="U176" s="20">
        <v>1.8</v>
      </c>
      <c r="V176" s="20">
        <v>1.7</v>
      </c>
      <c r="W176" s="20">
        <v>1.5</v>
      </c>
      <c r="X176" s="20">
        <v>2</v>
      </c>
      <c r="Y176" s="20">
        <v>1.8</v>
      </c>
      <c r="Z176" s="20">
        <v>1.8</v>
      </c>
      <c r="AA176" s="20">
        <v>2.2000000000000002</v>
      </c>
      <c r="AB176" s="20">
        <v>1.8</v>
      </c>
    </row>
    <row r="177" spans="1:28" x14ac:dyDescent="0.2">
      <c r="A177" s="22">
        <v>32933</v>
      </c>
      <c r="B177" s="20">
        <v>56.3</v>
      </c>
      <c r="C177" s="20">
        <v>56.9</v>
      </c>
      <c r="D177" s="20">
        <v>54.5</v>
      </c>
      <c r="E177" s="20">
        <v>54.8</v>
      </c>
      <c r="F177" s="20">
        <v>56.4</v>
      </c>
      <c r="G177" s="20">
        <v>56.7</v>
      </c>
      <c r="H177" s="20">
        <v>56.9</v>
      </c>
      <c r="I177" s="20">
        <v>56.2</v>
      </c>
      <c r="J177" s="187">
        <v>56.2</v>
      </c>
      <c r="K177" s="20">
        <v>8.9</v>
      </c>
      <c r="L177" s="20">
        <v>8.6</v>
      </c>
      <c r="M177" s="20">
        <v>7.7</v>
      </c>
      <c r="N177" s="20">
        <v>6.8</v>
      </c>
      <c r="O177" s="20">
        <v>9.3000000000000007</v>
      </c>
      <c r="P177" s="20">
        <v>7.2</v>
      </c>
      <c r="Q177" s="20">
        <v>6.4</v>
      </c>
      <c r="R177" s="20">
        <v>8.3000000000000007</v>
      </c>
      <c r="S177" s="20">
        <v>8.6999999999999993</v>
      </c>
      <c r="T177" s="20">
        <v>1.6</v>
      </c>
      <c r="U177" s="20">
        <v>1.6</v>
      </c>
      <c r="V177" s="20">
        <v>1.5</v>
      </c>
      <c r="W177" s="20">
        <v>1.5</v>
      </c>
      <c r="X177" s="20">
        <v>2.4</v>
      </c>
      <c r="Y177" s="20">
        <v>1.6</v>
      </c>
      <c r="Z177" s="20">
        <v>1.2</v>
      </c>
      <c r="AA177" s="20">
        <v>2</v>
      </c>
      <c r="AB177" s="20">
        <v>1.8</v>
      </c>
    </row>
    <row r="178" spans="1:28" x14ac:dyDescent="0.2">
      <c r="A178" s="22">
        <v>33025</v>
      </c>
      <c r="B178" s="20">
        <v>57.2</v>
      </c>
      <c r="C178" s="20">
        <v>58</v>
      </c>
      <c r="D178" s="20">
        <v>55.3</v>
      </c>
      <c r="E178" s="20">
        <v>55.8</v>
      </c>
      <c r="F178" s="20">
        <v>57.3</v>
      </c>
      <c r="G178" s="20">
        <v>57.2</v>
      </c>
      <c r="H178" s="20">
        <v>57.9</v>
      </c>
      <c r="I178" s="20">
        <v>56.8</v>
      </c>
      <c r="J178" s="187">
        <v>57.1</v>
      </c>
      <c r="K178" s="20">
        <v>8.1</v>
      </c>
      <c r="L178" s="20">
        <v>7.8</v>
      </c>
      <c r="M178" s="20">
        <v>6.8</v>
      </c>
      <c r="N178" s="20">
        <v>6.7</v>
      </c>
      <c r="O178" s="20">
        <v>8.5</v>
      </c>
      <c r="P178" s="20">
        <v>6.1</v>
      </c>
      <c r="Q178" s="20">
        <v>6.4</v>
      </c>
      <c r="R178" s="20">
        <v>7</v>
      </c>
      <c r="S178" s="20">
        <v>7.7</v>
      </c>
      <c r="T178" s="20">
        <v>1.6</v>
      </c>
      <c r="U178" s="20">
        <v>1.9</v>
      </c>
      <c r="V178" s="20">
        <v>1.5</v>
      </c>
      <c r="W178" s="20">
        <v>1.8</v>
      </c>
      <c r="X178" s="20">
        <v>1.6</v>
      </c>
      <c r="Y178" s="20">
        <v>0.9</v>
      </c>
      <c r="Z178" s="20">
        <v>1.8</v>
      </c>
      <c r="AA178" s="20">
        <v>1.1000000000000001</v>
      </c>
      <c r="AB178" s="20">
        <v>1.6</v>
      </c>
    </row>
    <row r="179" spans="1:28" x14ac:dyDescent="0.2">
      <c r="A179" s="22">
        <v>33117</v>
      </c>
      <c r="B179" s="20">
        <v>57.6</v>
      </c>
      <c r="C179" s="20">
        <v>58.5</v>
      </c>
      <c r="D179" s="20">
        <v>55.6</v>
      </c>
      <c r="E179" s="20">
        <v>56.5</v>
      </c>
      <c r="F179" s="20">
        <v>57.8</v>
      </c>
      <c r="G179" s="20">
        <v>57.8</v>
      </c>
      <c r="H179" s="20">
        <v>58.5</v>
      </c>
      <c r="I179" s="20">
        <v>57.2</v>
      </c>
      <c r="J179" s="187">
        <v>57.5</v>
      </c>
      <c r="K179" s="20">
        <v>5.9</v>
      </c>
      <c r="L179" s="20">
        <v>6.4</v>
      </c>
      <c r="M179" s="20">
        <v>5.3</v>
      </c>
      <c r="N179" s="20">
        <v>6.2</v>
      </c>
      <c r="O179" s="20">
        <v>7</v>
      </c>
      <c r="P179" s="20">
        <v>5.5</v>
      </c>
      <c r="Q179" s="20">
        <v>6</v>
      </c>
      <c r="R179" s="20">
        <v>6.1</v>
      </c>
      <c r="S179" s="20">
        <v>6.1</v>
      </c>
      <c r="T179" s="20">
        <v>0.7</v>
      </c>
      <c r="U179" s="20">
        <v>0.9</v>
      </c>
      <c r="V179" s="20">
        <v>0.5</v>
      </c>
      <c r="W179" s="20">
        <v>1.3</v>
      </c>
      <c r="X179" s="20">
        <v>0.9</v>
      </c>
      <c r="Y179" s="20">
        <v>1</v>
      </c>
      <c r="Z179" s="20">
        <v>1</v>
      </c>
      <c r="AA179" s="20">
        <v>0.7</v>
      </c>
      <c r="AB179" s="20">
        <v>0.7</v>
      </c>
    </row>
    <row r="180" spans="1:28" x14ac:dyDescent="0.2">
      <c r="A180" s="22">
        <v>33208</v>
      </c>
      <c r="B180" s="20">
        <v>58.9</v>
      </c>
      <c r="C180" s="20">
        <v>60.2</v>
      </c>
      <c r="D180" s="20">
        <v>57</v>
      </c>
      <c r="E180" s="20">
        <v>58.2</v>
      </c>
      <c r="F180" s="20">
        <v>59.2</v>
      </c>
      <c r="G180" s="20">
        <v>59.2</v>
      </c>
      <c r="H180" s="20">
        <v>60.2</v>
      </c>
      <c r="I180" s="20">
        <v>58.8</v>
      </c>
      <c r="J180" s="187">
        <v>59</v>
      </c>
      <c r="K180" s="20">
        <v>6.3</v>
      </c>
      <c r="L180" s="20">
        <v>7.5</v>
      </c>
      <c r="M180" s="20">
        <v>6.1</v>
      </c>
      <c r="N180" s="20">
        <v>7.8</v>
      </c>
      <c r="O180" s="20">
        <v>7.4</v>
      </c>
      <c r="P180" s="20">
        <v>6.1</v>
      </c>
      <c r="Q180" s="20">
        <v>7.1</v>
      </c>
      <c r="R180" s="20">
        <v>6.7</v>
      </c>
      <c r="S180" s="20">
        <v>6.9</v>
      </c>
      <c r="T180" s="20">
        <v>2.2999999999999998</v>
      </c>
      <c r="U180" s="20">
        <v>2.9</v>
      </c>
      <c r="V180" s="20">
        <v>2.5</v>
      </c>
      <c r="W180" s="20">
        <v>3</v>
      </c>
      <c r="X180" s="20">
        <v>2.4</v>
      </c>
      <c r="Y180" s="20">
        <v>2.4</v>
      </c>
      <c r="Z180" s="20">
        <v>2.9</v>
      </c>
      <c r="AA180" s="20">
        <v>2.8</v>
      </c>
      <c r="AB180" s="20">
        <v>2.6</v>
      </c>
    </row>
    <row r="181" spans="1:28" x14ac:dyDescent="0.2">
      <c r="A181" s="22">
        <v>33298</v>
      </c>
      <c r="B181" s="20">
        <v>59</v>
      </c>
      <c r="C181" s="20">
        <v>59.9</v>
      </c>
      <c r="D181" s="20">
        <v>57.2</v>
      </c>
      <c r="E181" s="20">
        <v>58.1</v>
      </c>
      <c r="F181" s="20">
        <v>58.6</v>
      </c>
      <c r="G181" s="20">
        <v>59.1</v>
      </c>
      <c r="H181" s="20">
        <v>60</v>
      </c>
      <c r="I181" s="20">
        <v>58.6</v>
      </c>
      <c r="J181" s="187">
        <v>58.9</v>
      </c>
      <c r="K181" s="20">
        <v>4.8</v>
      </c>
      <c r="L181" s="20">
        <v>5.3</v>
      </c>
      <c r="M181" s="20">
        <v>5</v>
      </c>
      <c r="N181" s="20">
        <v>6</v>
      </c>
      <c r="O181" s="20">
        <v>3.9</v>
      </c>
      <c r="P181" s="20">
        <v>4.2</v>
      </c>
      <c r="Q181" s="20">
        <v>5.4</v>
      </c>
      <c r="R181" s="20">
        <v>4.3</v>
      </c>
      <c r="S181" s="20">
        <v>4.8</v>
      </c>
      <c r="T181" s="20">
        <v>0.2</v>
      </c>
      <c r="U181" s="20">
        <v>-0.5</v>
      </c>
      <c r="V181" s="20">
        <v>0.4</v>
      </c>
      <c r="W181" s="20">
        <v>-0.2</v>
      </c>
      <c r="X181" s="20">
        <v>-1</v>
      </c>
      <c r="Y181" s="20">
        <v>-0.2</v>
      </c>
      <c r="Z181" s="20">
        <v>-0.3</v>
      </c>
      <c r="AA181" s="20">
        <v>-0.3</v>
      </c>
      <c r="AB181" s="20">
        <v>-0.2</v>
      </c>
    </row>
    <row r="182" spans="1:28" x14ac:dyDescent="0.2">
      <c r="A182" s="22">
        <v>33390</v>
      </c>
      <c r="B182" s="20">
        <v>58.9</v>
      </c>
      <c r="C182" s="20">
        <v>60.3</v>
      </c>
      <c r="D182" s="20">
        <v>57.2</v>
      </c>
      <c r="E182" s="20">
        <v>58.4</v>
      </c>
      <c r="F182" s="20">
        <v>58.6</v>
      </c>
      <c r="G182" s="20">
        <v>59.4</v>
      </c>
      <c r="H182" s="20">
        <v>60.3</v>
      </c>
      <c r="I182" s="20">
        <v>58.6</v>
      </c>
      <c r="J182" s="187">
        <v>59</v>
      </c>
      <c r="K182" s="20">
        <v>3</v>
      </c>
      <c r="L182" s="20">
        <v>4</v>
      </c>
      <c r="M182" s="20">
        <v>3.4</v>
      </c>
      <c r="N182" s="20">
        <v>4.7</v>
      </c>
      <c r="O182" s="20">
        <v>2.2999999999999998</v>
      </c>
      <c r="P182" s="20">
        <v>3.8</v>
      </c>
      <c r="Q182" s="20">
        <v>4.0999999999999996</v>
      </c>
      <c r="R182" s="20">
        <v>3.2</v>
      </c>
      <c r="S182" s="20">
        <v>3.3</v>
      </c>
      <c r="T182" s="20">
        <v>-0.2</v>
      </c>
      <c r="U182" s="20">
        <v>0.7</v>
      </c>
      <c r="V182" s="20">
        <v>0</v>
      </c>
      <c r="W182" s="20">
        <v>0.5</v>
      </c>
      <c r="X182" s="20">
        <v>0</v>
      </c>
      <c r="Y182" s="20">
        <v>0.5</v>
      </c>
      <c r="Z182" s="20">
        <v>0.5</v>
      </c>
      <c r="AA182" s="20">
        <v>0</v>
      </c>
      <c r="AB182" s="20">
        <v>0.2</v>
      </c>
    </row>
    <row r="183" spans="1:28" x14ac:dyDescent="0.2">
      <c r="A183" s="22">
        <v>33482</v>
      </c>
      <c r="B183" s="20">
        <v>59.2</v>
      </c>
      <c r="C183" s="20">
        <v>60.8</v>
      </c>
      <c r="D183" s="20">
        <v>57.4</v>
      </c>
      <c r="E183" s="20">
        <v>58.8</v>
      </c>
      <c r="F183" s="20">
        <v>58.9</v>
      </c>
      <c r="G183" s="20">
        <v>59.9</v>
      </c>
      <c r="H183" s="20">
        <v>60.4</v>
      </c>
      <c r="I183" s="20">
        <v>59.4</v>
      </c>
      <c r="J183" s="187">
        <v>59.3</v>
      </c>
      <c r="K183" s="20">
        <v>2.8</v>
      </c>
      <c r="L183" s="20">
        <v>3.9</v>
      </c>
      <c r="M183" s="20">
        <v>3.2</v>
      </c>
      <c r="N183" s="20">
        <v>4.0999999999999996</v>
      </c>
      <c r="O183" s="20">
        <v>1.9</v>
      </c>
      <c r="P183" s="20">
        <v>3.6</v>
      </c>
      <c r="Q183" s="20">
        <v>3.2</v>
      </c>
      <c r="R183" s="20">
        <v>3.8</v>
      </c>
      <c r="S183" s="20">
        <v>3.1</v>
      </c>
      <c r="T183" s="20">
        <v>0.5</v>
      </c>
      <c r="U183" s="20">
        <v>0.8</v>
      </c>
      <c r="V183" s="20">
        <v>0.3</v>
      </c>
      <c r="W183" s="20">
        <v>0.7</v>
      </c>
      <c r="X183" s="20">
        <v>0.5</v>
      </c>
      <c r="Y183" s="20">
        <v>0.8</v>
      </c>
      <c r="Z183" s="20">
        <v>0.2</v>
      </c>
      <c r="AA183" s="20">
        <v>1.4</v>
      </c>
      <c r="AB183" s="20">
        <v>0.5</v>
      </c>
    </row>
    <row r="184" spans="1:28" x14ac:dyDescent="0.2">
      <c r="A184" s="22">
        <v>33573</v>
      </c>
      <c r="B184" s="20">
        <v>59.8</v>
      </c>
      <c r="C184" s="20">
        <v>61.2</v>
      </c>
      <c r="D184" s="20">
        <v>58</v>
      </c>
      <c r="E184" s="20">
        <v>59.3</v>
      </c>
      <c r="F184" s="20">
        <v>59.1</v>
      </c>
      <c r="G184" s="20">
        <v>60.3</v>
      </c>
      <c r="H184" s="20">
        <v>61.2</v>
      </c>
      <c r="I184" s="20">
        <v>59.9</v>
      </c>
      <c r="J184" s="187">
        <v>59.9</v>
      </c>
      <c r="K184" s="20">
        <v>1.5</v>
      </c>
      <c r="L184" s="20">
        <v>1.7</v>
      </c>
      <c r="M184" s="20">
        <v>1.8</v>
      </c>
      <c r="N184" s="20">
        <v>1.9</v>
      </c>
      <c r="O184" s="20">
        <v>-0.2</v>
      </c>
      <c r="P184" s="20">
        <v>1.9</v>
      </c>
      <c r="Q184" s="20">
        <v>1.7</v>
      </c>
      <c r="R184" s="20">
        <v>1.9</v>
      </c>
      <c r="S184" s="20">
        <v>1.5</v>
      </c>
      <c r="T184" s="20">
        <v>1</v>
      </c>
      <c r="U184" s="20">
        <v>0.7</v>
      </c>
      <c r="V184" s="20">
        <v>1</v>
      </c>
      <c r="W184" s="20">
        <v>0.9</v>
      </c>
      <c r="X184" s="20">
        <v>0.3</v>
      </c>
      <c r="Y184" s="20">
        <v>0.7</v>
      </c>
      <c r="Z184" s="20">
        <v>1.3</v>
      </c>
      <c r="AA184" s="20">
        <v>0.8</v>
      </c>
      <c r="AB184" s="20">
        <v>1</v>
      </c>
    </row>
    <row r="185" spans="1:28" x14ac:dyDescent="0.2">
      <c r="A185" s="22">
        <v>33664</v>
      </c>
      <c r="B185" s="20">
        <v>59.8</v>
      </c>
      <c r="C185" s="20">
        <v>61.2</v>
      </c>
      <c r="D185" s="20">
        <v>58.1</v>
      </c>
      <c r="E185" s="20">
        <v>59.6</v>
      </c>
      <c r="F185" s="20">
        <v>59.1</v>
      </c>
      <c r="G185" s="20">
        <v>60.3</v>
      </c>
      <c r="H185" s="20">
        <v>61.2</v>
      </c>
      <c r="I185" s="20">
        <v>60.1</v>
      </c>
      <c r="J185" s="187">
        <v>59.9</v>
      </c>
      <c r="K185" s="20">
        <v>1.4</v>
      </c>
      <c r="L185" s="20">
        <v>2.2000000000000002</v>
      </c>
      <c r="M185" s="20">
        <v>1.6</v>
      </c>
      <c r="N185" s="20">
        <v>2.6</v>
      </c>
      <c r="O185" s="20">
        <v>0.9</v>
      </c>
      <c r="P185" s="20">
        <v>2</v>
      </c>
      <c r="Q185" s="20">
        <v>2</v>
      </c>
      <c r="R185" s="20">
        <v>2.6</v>
      </c>
      <c r="S185" s="20">
        <v>1.7</v>
      </c>
      <c r="T185" s="20">
        <v>0</v>
      </c>
      <c r="U185" s="20">
        <v>0</v>
      </c>
      <c r="V185" s="20">
        <v>0.2</v>
      </c>
      <c r="W185" s="20">
        <v>0.5</v>
      </c>
      <c r="X185" s="20">
        <v>0</v>
      </c>
      <c r="Y185" s="20">
        <v>0</v>
      </c>
      <c r="Z185" s="20">
        <v>0</v>
      </c>
      <c r="AA185" s="20">
        <v>0.3</v>
      </c>
      <c r="AB185" s="20">
        <v>0</v>
      </c>
    </row>
    <row r="186" spans="1:28" x14ac:dyDescent="0.2">
      <c r="A186" s="22">
        <v>33756</v>
      </c>
      <c r="B186" s="20">
        <v>59.5</v>
      </c>
      <c r="C186" s="20">
        <v>61.1</v>
      </c>
      <c r="D186" s="20">
        <v>57.9</v>
      </c>
      <c r="E186" s="20">
        <v>59.6</v>
      </c>
      <c r="F186" s="20">
        <v>58.8</v>
      </c>
      <c r="G186" s="20">
        <v>60.1</v>
      </c>
      <c r="H186" s="20">
        <v>61.3</v>
      </c>
      <c r="I186" s="20">
        <v>59.9</v>
      </c>
      <c r="J186" s="187">
        <v>59.7</v>
      </c>
      <c r="K186" s="20">
        <v>1</v>
      </c>
      <c r="L186" s="20">
        <v>1.3</v>
      </c>
      <c r="M186" s="20">
        <v>1.2</v>
      </c>
      <c r="N186" s="20">
        <v>2.1</v>
      </c>
      <c r="O186" s="20">
        <v>0.3</v>
      </c>
      <c r="P186" s="20">
        <v>1.2</v>
      </c>
      <c r="Q186" s="20">
        <v>1.7</v>
      </c>
      <c r="R186" s="20">
        <v>2.2000000000000002</v>
      </c>
      <c r="S186" s="20">
        <v>1.2</v>
      </c>
      <c r="T186" s="20">
        <v>-0.5</v>
      </c>
      <c r="U186" s="20">
        <v>-0.2</v>
      </c>
      <c r="V186" s="20">
        <v>-0.3</v>
      </c>
      <c r="W186" s="20">
        <v>0</v>
      </c>
      <c r="X186" s="20">
        <v>-0.5</v>
      </c>
      <c r="Y186" s="20">
        <v>-0.3</v>
      </c>
      <c r="Z186" s="20">
        <v>0.2</v>
      </c>
      <c r="AA186" s="20">
        <v>-0.3</v>
      </c>
      <c r="AB186" s="20">
        <v>-0.3</v>
      </c>
    </row>
    <row r="187" spans="1:28" x14ac:dyDescent="0.2">
      <c r="A187" s="22">
        <v>33848</v>
      </c>
      <c r="B187" s="20">
        <v>59.7</v>
      </c>
      <c r="C187" s="20">
        <v>61</v>
      </c>
      <c r="D187" s="20">
        <v>57.8</v>
      </c>
      <c r="E187" s="20">
        <v>60</v>
      </c>
      <c r="F187" s="20">
        <v>58.8</v>
      </c>
      <c r="G187" s="20">
        <v>60.4</v>
      </c>
      <c r="H187" s="20">
        <v>61.6</v>
      </c>
      <c r="I187" s="20">
        <v>60.3</v>
      </c>
      <c r="J187" s="187">
        <v>59.8</v>
      </c>
      <c r="K187" s="20">
        <v>0.8</v>
      </c>
      <c r="L187" s="20">
        <v>0.3</v>
      </c>
      <c r="M187" s="20">
        <v>0.7</v>
      </c>
      <c r="N187" s="20">
        <v>2</v>
      </c>
      <c r="O187" s="20">
        <v>-0.2</v>
      </c>
      <c r="P187" s="20">
        <v>0.8</v>
      </c>
      <c r="Q187" s="20">
        <v>2</v>
      </c>
      <c r="R187" s="20">
        <v>1.5</v>
      </c>
      <c r="S187" s="20">
        <v>0.8</v>
      </c>
      <c r="T187" s="20">
        <v>0.3</v>
      </c>
      <c r="U187" s="20">
        <v>-0.2</v>
      </c>
      <c r="V187" s="20">
        <v>-0.2</v>
      </c>
      <c r="W187" s="20">
        <v>0.7</v>
      </c>
      <c r="X187" s="20">
        <v>0</v>
      </c>
      <c r="Y187" s="20">
        <v>0.5</v>
      </c>
      <c r="Z187" s="20">
        <v>0.5</v>
      </c>
      <c r="AA187" s="20">
        <v>0.7</v>
      </c>
      <c r="AB187" s="20">
        <v>0.2</v>
      </c>
    </row>
    <row r="188" spans="1:28" x14ac:dyDescent="0.2">
      <c r="A188" s="22">
        <v>33939</v>
      </c>
      <c r="B188" s="20">
        <v>60</v>
      </c>
      <c r="C188" s="20">
        <v>61.1</v>
      </c>
      <c r="D188" s="20">
        <v>58.5</v>
      </c>
      <c r="E188" s="20">
        <v>60.3</v>
      </c>
      <c r="F188" s="20">
        <v>59.1</v>
      </c>
      <c r="G188" s="20">
        <v>60.6</v>
      </c>
      <c r="H188" s="20">
        <v>61.7</v>
      </c>
      <c r="I188" s="20">
        <v>60.5</v>
      </c>
      <c r="J188" s="187">
        <v>60.1</v>
      </c>
      <c r="K188" s="20">
        <v>0.3</v>
      </c>
      <c r="L188" s="20">
        <v>-0.2</v>
      </c>
      <c r="M188" s="20">
        <v>0.9</v>
      </c>
      <c r="N188" s="20">
        <v>1.7</v>
      </c>
      <c r="O188" s="20">
        <v>0</v>
      </c>
      <c r="P188" s="20">
        <v>0.5</v>
      </c>
      <c r="Q188" s="20">
        <v>0.8</v>
      </c>
      <c r="R188" s="20">
        <v>1</v>
      </c>
      <c r="S188" s="20">
        <v>0.3</v>
      </c>
      <c r="T188" s="20">
        <v>0.5</v>
      </c>
      <c r="U188" s="20">
        <v>0.2</v>
      </c>
      <c r="V188" s="20">
        <v>1.2</v>
      </c>
      <c r="W188" s="20">
        <v>0.5</v>
      </c>
      <c r="X188" s="20">
        <v>0.5</v>
      </c>
      <c r="Y188" s="20">
        <v>0.3</v>
      </c>
      <c r="Z188" s="20">
        <v>0.2</v>
      </c>
      <c r="AA188" s="20">
        <v>0.3</v>
      </c>
      <c r="AB188" s="20">
        <v>0.5</v>
      </c>
    </row>
    <row r="189" spans="1:28" x14ac:dyDescent="0.2">
      <c r="A189" s="22">
        <v>34029</v>
      </c>
      <c r="B189" s="20">
        <v>60.4</v>
      </c>
      <c r="C189" s="20">
        <v>61.9</v>
      </c>
      <c r="D189" s="20">
        <v>59</v>
      </c>
      <c r="E189" s="20">
        <v>60.8</v>
      </c>
      <c r="F189" s="20">
        <v>59.3</v>
      </c>
      <c r="G189" s="20">
        <v>61.2</v>
      </c>
      <c r="H189" s="20">
        <v>62.1</v>
      </c>
      <c r="I189" s="20">
        <v>61.1</v>
      </c>
      <c r="J189" s="187">
        <v>60.6</v>
      </c>
      <c r="K189" s="20">
        <v>1</v>
      </c>
      <c r="L189" s="20">
        <v>1.1000000000000001</v>
      </c>
      <c r="M189" s="20">
        <v>1.5</v>
      </c>
      <c r="N189" s="20">
        <v>2</v>
      </c>
      <c r="O189" s="20">
        <v>0.3</v>
      </c>
      <c r="P189" s="20">
        <v>1.5</v>
      </c>
      <c r="Q189" s="20">
        <v>1.5</v>
      </c>
      <c r="R189" s="20">
        <v>1.7</v>
      </c>
      <c r="S189" s="20">
        <v>1.2</v>
      </c>
      <c r="T189" s="20">
        <v>0.7</v>
      </c>
      <c r="U189" s="20">
        <v>1.3</v>
      </c>
      <c r="V189" s="20">
        <v>0.9</v>
      </c>
      <c r="W189" s="20">
        <v>0.8</v>
      </c>
      <c r="X189" s="20">
        <v>0.3</v>
      </c>
      <c r="Y189" s="20">
        <v>1</v>
      </c>
      <c r="Z189" s="20">
        <v>0.6</v>
      </c>
      <c r="AA189" s="20">
        <v>1</v>
      </c>
      <c r="AB189" s="20">
        <v>0.8</v>
      </c>
    </row>
    <row r="190" spans="1:28" x14ac:dyDescent="0.2">
      <c r="A190" s="22">
        <v>34121</v>
      </c>
      <c r="B190" s="20">
        <v>60.5</v>
      </c>
      <c r="C190" s="20">
        <v>62.2</v>
      </c>
      <c r="D190" s="20">
        <v>59.3</v>
      </c>
      <c r="E190" s="20">
        <v>61.2</v>
      </c>
      <c r="F190" s="20">
        <v>59.5</v>
      </c>
      <c r="G190" s="20">
        <v>61.4</v>
      </c>
      <c r="H190" s="20">
        <v>62.2</v>
      </c>
      <c r="I190" s="20">
        <v>61.2</v>
      </c>
      <c r="J190" s="187">
        <v>60.8</v>
      </c>
      <c r="K190" s="20">
        <v>1.7</v>
      </c>
      <c r="L190" s="20">
        <v>1.8</v>
      </c>
      <c r="M190" s="20">
        <v>2.4</v>
      </c>
      <c r="N190" s="20">
        <v>2.7</v>
      </c>
      <c r="O190" s="20">
        <v>1.2</v>
      </c>
      <c r="P190" s="20">
        <v>2.2000000000000002</v>
      </c>
      <c r="Q190" s="20">
        <v>1.5</v>
      </c>
      <c r="R190" s="20">
        <v>2.2000000000000002</v>
      </c>
      <c r="S190" s="20">
        <v>1.8</v>
      </c>
      <c r="T190" s="20">
        <v>0.2</v>
      </c>
      <c r="U190" s="20">
        <v>0.5</v>
      </c>
      <c r="V190" s="20">
        <v>0.5</v>
      </c>
      <c r="W190" s="20">
        <v>0.7</v>
      </c>
      <c r="X190" s="20">
        <v>0.3</v>
      </c>
      <c r="Y190" s="20">
        <v>0.3</v>
      </c>
      <c r="Z190" s="20">
        <v>0.2</v>
      </c>
      <c r="AA190" s="20">
        <v>0.2</v>
      </c>
      <c r="AB190" s="20">
        <v>0.3</v>
      </c>
    </row>
    <row r="191" spans="1:28" x14ac:dyDescent="0.2">
      <c r="A191" s="22">
        <v>34213</v>
      </c>
      <c r="B191" s="20">
        <v>60.7</v>
      </c>
      <c r="C191" s="20">
        <v>62.4</v>
      </c>
      <c r="D191" s="20">
        <v>59.4</v>
      </c>
      <c r="E191" s="20">
        <v>61.4</v>
      </c>
      <c r="F191" s="20">
        <v>60.1</v>
      </c>
      <c r="G191" s="20">
        <v>62.3</v>
      </c>
      <c r="H191" s="20">
        <v>62.5</v>
      </c>
      <c r="I191" s="20">
        <v>61.6</v>
      </c>
      <c r="J191" s="187">
        <v>61.1</v>
      </c>
      <c r="K191" s="20">
        <v>1.7</v>
      </c>
      <c r="L191" s="20">
        <v>2.2999999999999998</v>
      </c>
      <c r="M191" s="20">
        <v>2.8</v>
      </c>
      <c r="N191" s="20">
        <v>2.2999999999999998</v>
      </c>
      <c r="O191" s="20">
        <v>2.2000000000000002</v>
      </c>
      <c r="P191" s="20">
        <v>3.1</v>
      </c>
      <c r="Q191" s="20">
        <v>1.5</v>
      </c>
      <c r="R191" s="20">
        <v>2.2000000000000002</v>
      </c>
      <c r="S191" s="20">
        <v>2.2000000000000002</v>
      </c>
      <c r="T191" s="20">
        <v>0.3</v>
      </c>
      <c r="U191" s="20">
        <v>0.3</v>
      </c>
      <c r="V191" s="20">
        <v>0.2</v>
      </c>
      <c r="W191" s="20">
        <v>0.3</v>
      </c>
      <c r="X191" s="20">
        <v>1</v>
      </c>
      <c r="Y191" s="20">
        <v>1.5</v>
      </c>
      <c r="Z191" s="20">
        <v>0.5</v>
      </c>
      <c r="AA191" s="20">
        <v>0.7</v>
      </c>
      <c r="AB191" s="20">
        <v>0.5</v>
      </c>
    </row>
    <row r="192" spans="1:28" x14ac:dyDescent="0.2">
      <c r="A192" s="22">
        <v>34304</v>
      </c>
      <c r="B192" s="20">
        <v>60.8</v>
      </c>
      <c r="C192" s="20">
        <v>62.6</v>
      </c>
      <c r="D192" s="20">
        <v>59.6</v>
      </c>
      <c r="E192" s="20">
        <v>61.4</v>
      </c>
      <c r="F192" s="20">
        <v>60.5</v>
      </c>
      <c r="G192" s="20">
        <v>62.6</v>
      </c>
      <c r="H192" s="20">
        <v>63.2</v>
      </c>
      <c r="I192" s="20">
        <v>61.8</v>
      </c>
      <c r="J192" s="187">
        <v>61.2</v>
      </c>
      <c r="K192" s="20">
        <v>1.3</v>
      </c>
      <c r="L192" s="20">
        <v>2.5</v>
      </c>
      <c r="M192" s="20">
        <v>1.9</v>
      </c>
      <c r="N192" s="20">
        <v>1.8</v>
      </c>
      <c r="O192" s="20">
        <v>2.4</v>
      </c>
      <c r="P192" s="20">
        <v>3.3</v>
      </c>
      <c r="Q192" s="20">
        <v>2.4</v>
      </c>
      <c r="R192" s="20">
        <v>2.1</v>
      </c>
      <c r="S192" s="20">
        <v>1.8</v>
      </c>
      <c r="T192" s="20">
        <v>0.2</v>
      </c>
      <c r="U192" s="20">
        <v>0.3</v>
      </c>
      <c r="V192" s="20">
        <v>0.3</v>
      </c>
      <c r="W192" s="20">
        <v>0</v>
      </c>
      <c r="X192" s="20">
        <v>0.7</v>
      </c>
      <c r="Y192" s="20">
        <v>0.5</v>
      </c>
      <c r="Z192" s="20">
        <v>1.1000000000000001</v>
      </c>
      <c r="AA192" s="20">
        <v>0.3</v>
      </c>
      <c r="AB192" s="20">
        <v>0.2</v>
      </c>
    </row>
    <row r="193" spans="1:28" x14ac:dyDescent="0.2">
      <c r="A193" s="22">
        <v>34394</v>
      </c>
      <c r="B193" s="20">
        <v>60.9</v>
      </c>
      <c r="C193" s="20">
        <v>62.8</v>
      </c>
      <c r="D193" s="20">
        <v>59.9</v>
      </c>
      <c r="E193" s="20">
        <v>61.9</v>
      </c>
      <c r="F193" s="20">
        <v>60.5</v>
      </c>
      <c r="G193" s="20">
        <v>62.8</v>
      </c>
      <c r="H193" s="20">
        <v>63</v>
      </c>
      <c r="I193" s="20">
        <v>61.8</v>
      </c>
      <c r="J193" s="187">
        <v>61.5</v>
      </c>
      <c r="K193" s="20">
        <v>0.8</v>
      </c>
      <c r="L193" s="20">
        <v>1.5</v>
      </c>
      <c r="M193" s="20">
        <v>1.5</v>
      </c>
      <c r="N193" s="20">
        <v>1.8</v>
      </c>
      <c r="O193" s="20">
        <v>2</v>
      </c>
      <c r="P193" s="20">
        <v>2.6</v>
      </c>
      <c r="Q193" s="20">
        <v>1.4</v>
      </c>
      <c r="R193" s="20">
        <v>1.1000000000000001</v>
      </c>
      <c r="S193" s="20">
        <v>1.5</v>
      </c>
      <c r="T193" s="20">
        <v>0.2</v>
      </c>
      <c r="U193" s="20">
        <v>0.3</v>
      </c>
      <c r="V193" s="20">
        <v>0.5</v>
      </c>
      <c r="W193" s="20">
        <v>0.8</v>
      </c>
      <c r="X193" s="20">
        <v>0</v>
      </c>
      <c r="Y193" s="20">
        <v>0.3</v>
      </c>
      <c r="Z193" s="20">
        <v>-0.3</v>
      </c>
      <c r="AA193" s="20">
        <v>0</v>
      </c>
      <c r="AB193" s="20">
        <v>0.5</v>
      </c>
    </row>
    <row r="194" spans="1:28" x14ac:dyDescent="0.2">
      <c r="A194" s="22">
        <v>34486</v>
      </c>
      <c r="B194" s="20">
        <v>61.4</v>
      </c>
      <c r="C194" s="20">
        <v>63.3</v>
      </c>
      <c r="D194" s="20">
        <v>60.3</v>
      </c>
      <c r="E194" s="20">
        <v>62.3</v>
      </c>
      <c r="F194" s="20">
        <v>60.8</v>
      </c>
      <c r="G194" s="20">
        <v>63.1</v>
      </c>
      <c r="H194" s="20">
        <v>63.5</v>
      </c>
      <c r="I194" s="20">
        <v>62.2</v>
      </c>
      <c r="J194" s="187">
        <v>61.9</v>
      </c>
      <c r="K194" s="20">
        <v>1.5</v>
      </c>
      <c r="L194" s="20">
        <v>1.8</v>
      </c>
      <c r="M194" s="20">
        <v>1.7</v>
      </c>
      <c r="N194" s="20">
        <v>1.8</v>
      </c>
      <c r="O194" s="20">
        <v>2.2000000000000002</v>
      </c>
      <c r="P194" s="20">
        <v>2.8</v>
      </c>
      <c r="Q194" s="20">
        <v>2.1</v>
      </c>
      <c r="R194" s="20">
        <v>1.6</v>
      </c>
      <c r="S194" s="20">
        <v>1.8</v>
      </c>
      <c r="T194" s="20">
        <v>0.8</v>
      </c>
      <c r="U194" s="20">
        <v>0.8</v>
      </c>
      <c r="V194" s="20">
        <v>0.7</v>
      </c>
      <c r="W194" s="20">
        <v>0.6</v>
      </c>
      <c r="X194" s="20">
        <v>0.5</v>
      </c>
      <c r="Y194" s="20">
        <v>0.5</v>
      </c>
      <c r="Z194" s="20">
        <v>0.8</v>
      </c>
      <c r="AA194" s="20">
        <v>0.6</v>
      </c>
      <c r="AB194" s="20">
        <v>0.7</v>
      </c>
    </row>
    <row r="195" spans="1:28" x14ac:dyDescent="0.2">
      <c r="A195" s="22">
        <v>34578</v>
      </c>
      <c r="B195" s="20">
        <v>62</v>
      </c>
      <c r="C195" s="20">
        <v>63.4</v>
      </c>
      <c r="D195" s="20">
        <v>60.9</v>
      </c>
      <c r="E195" s="20">
        <v>62.6</v>
      </c>
      <c r="F195" s="20">
        <v>61.3</v>
      </c>
      <c r="G195" s="20">
        <v>63.6</v>
      </c>
      <c r="H195" s="20">
        <v>63.9</v>
      </c>
      <c r="I195" s="20">
        <v>62.5</v>
      </c>
      <c r="J195" s="187">
        <v>62.3</v>
      </c>
      <c r="K195" s="20">
        <v>2.1</v>
      </c>
      <c r="L195" s="20">
        <v>1.6</v>
      </c>
      <c r="M195" s="20">
        <v>2.5</v>
      </c>
      <c r="N195" s="20">
        <v>2</v>
      </c>
      <c r="O195" s="20">
        <v>2</v>
      </c>
      <c r="P195" s="20">
        <v>2.1</v>
      </c>
      <c r="Q195" s="20">
        <v>2.2000000000000002</v>
      </c>
      <c r="R195" s="20">
        <v>1.5</v>
      </c>
      <c r="S195" s="20">
        <v>2</v>
      </c>
      <c r="T195" s="20">
        <v>1</v>
      </c>
      <c r="U195" s="20">
        <v>0.2</v>
      </c>
      <c r="V195" s="20">
        <v>1</v>
      </c>
      <c r="W195" s="20">
        <v>0.5</v>
      </c>
      <c r="X195" s="20">
        <v>0.8</v>
      </c>
      <c r="Y195" s="20">
        <v>0.8</v>
      </c>
      <c r="Z195" s="20">
        <v>0.6</v>
      </c>
      <c r="AA195" s="20">
        <v>0.5</v>
      </c>
      <c r="AB195" s="20">
        <v>0.6</v>
      </c>
    </row>
    <row r="196" spans="1:28" x14ac:dyDescent="0.2">
      <c r="A196" s="22">
        <v>34669</v>
      </c>
      <c r="B196" s="20">
        <v>62.4</v>
      </c>
      <c r="C196" s="20">
        <v>63.9</v>
      </c>
      <c r="D196" s="20">
        <v>61.5</v>
      </c>
      <c r="E196" s="20">
        <v>63.2</v>
      </c>
      <c r="F196" s="20">
        <v>61.8</v>
      </c>
      <c r="G196" s="20">
        <v>64.099999999999994</v>
      </c>
      <c r="H196" s="20">
        <v>64.3</v>
      </c>
      <c r="I196" s="20">
        <v>63.2</v>
      </c>
      <c r="J196" s="187">
        <v>62.8</v>
      </c>
      <c r="K196" s="20">
        <v>2.6</v>
      </c>
      <c r="L196" s="20">
        <v>2.1</v>
      </c>
      <c r="M196" s="20">
        <v>3.2</v>
      </c>
      <c r="N196" s="20">
        <v>2.9</v>
      </c>
      <c r="O196" s="20">
        <v>2.1</v>
      </c>
      <c r="P196" s="20">
        <v>2.4</v>
      </c>
      <c r="Q196" s="20">
        <v>1.7</v>
      </c>
      <c r="R196" s="20">
        <v>2.2999999999999998</v>
      </c>
      <c r="S196" s="20">
        <v>2.6</v>
      </c>
      <c r="T196" s="20">
        <v>0.6</v>
      </c>
      <c r="U196" s="20">
        <v>0.8</v>
      </c>
      <c r="V196" s="20">
        <v>1</v>
      </c>
      <c r="W196" s="20">
        <v>1</v>
      </c>
      <c r="X196" s="20">
        <v>0.8</v>
      </c>
      <c r="Y196" s="20">
        <v>0.8</v>
      </c>
      <c r="Z196" s="20">
        <v>0.6</v>
      </c>
      <c r="AA196" s="20">
        <v>1.1000000000000001</v>
      </c>
      <c r="AB196" s="20">
        <v>0.8</v>
      </c>
    </row>
    <row r="197" spans="1:28" x14ac:dyDescent="0.2">
      <c r="A197" s="22">
        <v>34759</v>
      </c>
      <c r="B197" s="20">
        <v>63.5</v>
      </c>
      <c r="C197" s="20">
        <v>65</v>
      </c>
      <c r="D197" s="20">
        <v>62.6</v>
      </c>
      <c r="E197" s="20">
        <v>64.2</v>
      </c>
      <c r="F197" s="20">
        <v>63</v>
      </c>
      <c r="G197" s="20">
        <v>65.2</v>
      </c>
      <c r="H197" s="20">
        <v>65.2</v>
      </c>
      <c r="I197" s="20">
        <v>64.5</v>
      </c>
      <c r="J197" s="187">
        <v>63.8</v>
      </c>
      <c r="K197" s="20">
        <v>4.3</v>
      </c>
      <c r="L197" s="20">
        <v>3.5</v>
      </c>
      <c r="M197" s="20">
        <v>4.5</v>
      </c>
      <c r="N197" s="20">
        <v>3.7</v>
      </c>
      <c r="O197" s="20">
        <v>4.0999999999999996</v>
      </c>
      <c r="P197" s="20">
        <v>3.8</v>
      </c>
      <c r="Q197" s="20">
        <v>3.5</v>
      </c>
      <c r="R197" s="20">
        <v>4.4000000000000004</v>
      </c>
      <c r="S197" s="20">
        <v>3.7</v>
      </c>
      <c r="T197" s="20">
        <v>1.8</v>
      </c>
      <c r="U197" s="20">
        <v>1.7</v>
      </c>
      <c r="V197" s="20">
        <v>1.8</v>
      </c>
      <c r="W197" s="20">
        <v>1.6</v>
      </c>
      <c r="X197" s="20">
        <v>1.9</v>
      </c>
      <c r="Y197" s="20">
        <v>1.7</v>
      </c>
      <c r="Z197" s="20">
        <v>1.4</v>
      </c>
      <c r="AA197" s="20">
        <v>2.1</v>
      </c>
      <c r="AB197" s="20">
        <v>1.6</v>
      </c>
    </row>
    <row r="198" spans="1:28" x14ac:dyDescent="0.2">
      <c r="A198" s="22">
        <v>34851</v>
      </c>
      <c r="B198" s="20">
        <v>64.400000000000006</v>
      </c>
      <c r="C198" s="20">
        <v>65.599999999999994</v>
      </c>
      <c r="D198" s="20">
        <v>63.2</v>
      </c>
      <c r="E198" s="20">
        <v>64.7</v>
      </c>
      <c r="F198" s="20">
        <v>64</v>
      </c>
      <c r="G198" s="20">
        <v>65.7</v>
      </c>
      <c r="H198" s="20">
        <v>66</v>
      </c>
      <c r="I198" s="20">
        <v>65.3</v>
      </c>
      <c r="J198" s="187">
        <v>64.7</v>
      </c>
      <c r="K198" s="20">
        <v>4.9000000000000004</v>
      </c>
      <c r="L198" s="20">
        <v>3.6</v>
      </c>
      <c r="M198" s="20">
        <v>4.8</v>
      </c>
      <c r="N198" s="20">
        <v>3.9</v>
      </c>
      <c r="O198" s="20">
        <v>5.3</v>
      </c>
      <c r="P198" s="20">
        <v>4.0999999999999996</v>
      </c>
      <c r="Q198" s="20">
        <v>3.9</v>
      </c>
      <c r="R198" s="20">
        <v>5</v>
      </c>
      <c r="S198" s="20">
        <v>4.5</v>
      </c>
      <c r="T198" s="20">
        <v>1.4</v>
      </c>
      <c r="U198" s="20">
        <v>0.9</v>
      </c>
      <c r="V198" s="20">
        <v>1</v>
      </c>
      <c r="W198" s="20">
        <v>0.8</v>
      </c>
      <c r="X198" s="20">
        <v>1.6</v>
      </c>
      <c r="Y198" s="20">
        <v>0.8</v>
      </c>
      <c r="Z198" s="20">
        <v>1.2</v>
      </c>
      <c r="AA198" s="20">
        <v>1.2</v>
      </c>
      <c r="AB198" s="20">
        <v>1.4</v>
      </c>
    </row>
    <row r="199" spans="1:28" x14ac:dyDescent="0.2">
      <c r="A199" s="22">
        <v>34943</v>
      </c>
      <c r="B199" s="20">
        <v>65.5</v>
      </c>
      <c r="C199" s="20">
        <v>66.400000000000006</v>
      </c>
      <c r="D199" s="20">
        <v>63.8</v>
      </c>
      <c r="E199" s="20">
        <v>65.400000000000006</v>
      </c>
      <c r="F199" s="20">
        <v>64.400000000000006</v>
      </c>
      <c r="G199" s="20">
        <v>66.5</v>
      </c>
      <c r="H199" s="20">
        <v>66.7</v>
      </c>
      <c r="I199" s="20">
        <v>66.099999999999994</v>
      </c>
      <c r="J199" s="187">
        <v>65.5</v>
      </c>
      <c r="K199" s="20">
        <v>5.6</v>
      </c>
      <c r="L199" s="20">
        <v>4.7</v>
      </c>
      <c r="M199" s="20">
        <v>4.8</v>
      </c>
      <c r="N199" s="20">
        <v>4.5</v>
      </c>
      <c r="O199" s="20">
        <v>5.0999999999999996</v>
      </c>
      <c r="P199" s="20">
        <v>4.5999999999999996</v>
      </c>
      <c r="Q199" s="20">
        <v>4.4000000000000004</v>
      </c>
      <c r="R199" s="20">
        <v>5.8</v>
      </c>
      <c r="S199" s="20">
        <v>5.0999999999999996</v>
      </c>
      <c r="T199" s="20">
        <v>1.7</v>
      </c>
      <c r="U199" s="20">
        <v>1.2</v>
      </c>
      <c r="V199" s="20">
        <v>0.9</v>
      </c>
      <c r="W199" s="20">
        <v>1.1000000000000001</v>
      </c>
      <c r="X199" s="20">
        <v>0.6</v>
      </c>
      <c r="Y199" s="20">
        <v>1.2</v>
      </c>
      <c r="Z199" s="20">
        <v>1.1000000000000001</v>
      </c>
      <c r="AA199" s="20">
        <v>1.2</v>
      </c>
      <c r="AB199" s="20">
        <v>1.2</v>
      </c>
    </row>
    <row r="200" spans="1:28" x14ac:dyDescent="0.2">
      <c r="A200" s="22">
        <v>35034</v>
      </c>
      <c r="B200" s="20">
        <v>66.099999999999994</v>
      </c>
      <c r="C200" s="20">
        <v>66.900000000000006</v>
      </c>
      <c r="D200" s="20">
        <v>64.2</v>
      </c>
      <c r="E200" s="20">
        <v>66</v>
      </c>
      <c r="F200" s="20">
        <v>64.8</v>
      </c>
      <c r="G200" s="20">
        <v>66.900000000000006</v>
      </c>
      <c r="H200" s="20">
        <v>67.400000000000006</v>
      </c>
      <c r="I200" s="20">
        <v>66.599999999999994</v>
      </c>
      <c r="J200" s="187">
        <v>66</v>
      </c>
      <c r="K200" s="20">
        <v>5.9</v>
      </c>
      <c r="L200" s="20">
        <v>4.7</v>
      </c>
      <c r="M200" s="20">
        <v>4.4000000000000004</v>
      </c>
      <c r="N200" s="20">
        <v>4.4000000000000004</v>
      </c>
      <c r="O200" s="20">
        <v>4.9000000000000004</v>
      </c>
      <c r="P200" s="20">
        <v>4.4000000000000004</v>
      </c>
      <c r="Q200" s="20">
        <v>4.8</v>
      </c>
      <c r="R200" s="20">
        <v>5.4</v>
      </c>
      <c r="S200" s="20">
        <v>5.0999999999999996</v>
      </c>
      <c r="T200" s="20">
        <v>0.9</v>
      </c>
      <c r="U200" s="20">
        <v>0.8</v>
      </c>
      <c r="V200" s="20">
        <v>0.6</v>
      </c>
      <c r="W200" s="20">
        <v>0.9</v>
      </c>
      <c r="X200" s="20">
        <v>0.6</v>
      </c>
      <c r="Y200" s="20">
        <v>0.6</v>
      </c>
      <c r="Z200" s="20">
        <v>1</v>
      </c>
      <c r="AA200" s="20">
        <v>0.8</v>
      </c>
      <c r="AB200" s="20">
        <v>0.8</v>
      </c>
    </row>
    <row r="201" spans="1:28" x14ac:dyDescent="0.2">
      <c r="A201" s="22">
        <v>35125</v>
      </c>
      <c r="B201" s="20">
        <v>66.5</v>
      </c>
      <c r="C201" s="20">
        <v>66.8</v>
      </c>
      <c r="D201" s="20">
        <v>64.7</v>
      </c>
      <c r="E201" s="20">
        <v>66.2</v>
      </c>
      <c r="F201" s="20">
        <v>65.2</v>
      </c>
      <c r="G201" s="20">
        <v>67.400000000000006</v>
      </c>
      <c r="H201" s="20">
        <v>67.7</v>
      </c>
      <c r="I201" s="20">
        <v>67</v>
      </c>
      <c r="J201" s="187">
        <v>66.2</v>
      </c>
      <c r="K201" s="20">
        <v>4.7</v>
      </c>
      <c r="L201" s="20">
        <v>2.8</v>
      </c>
      <c r="M201" s="20">
        <v>3.4</v>
      </c>
      <c r="N201" s="20">
        <v>3.1</v>
      </c>
      <c r="O201" s="20">
        <v>3.5</v>
      </c>
      <c r="P201" s="20">
        <v>3.4</v>
      </c>
      <c r="Q201" s="20">
        <v>3.8</v>
      </c>
      <c r="R201" s="20">
        <v>3.9</v>
      </c>
      <c r="S201" s="20">
        <v>3.8</v>
      </c>
      <c r="T201" s="20">
        <v>0.6</v>
      </c>
      <c r="U201" s="20">
        <v>-0.1</v>
      </c>
      <c r="V201" s="20">
        <v>0.8</v>
      </c>
      <c r="W201" s="20">
        <v>0.3</v>
      </c>
      <c r="X201" s="20">
        <v>0.6</v>
      </c>
      <c r="Y201" s="20">
        <v>0.7</v>
      </c>
      <c r="Z201" s="20">
        <v>0.4</v>
      </c>
      <c r="AA201" s="20">
        <v>0.6</v>
      </c>
      <c r="AB201" s="20">
        <v>0.3</v>
      </c>
    </row>
    <row r="202" spans="1:28" x14ac:dyDescent="0.2">
      <c r="A202" s="22">
        <v>35217</v>
      </c>
      <c r="B202" s="20">
        <v>67</v>
      </c>
      <c r="C202" s="20">
        <v>67.3</v>
      </c>
      <c r="D202" s="20">
        <v>65.099999999999994</v>
      </c>
      <c r="E202" s="20">
        <v>66.5</v>
      </c>
      <c r="F202" s="20">
        <v>65.7</v>
      </c>
      <c r="G202" s="20">
        <v>67.7</v>
      </c>
      <c r="H202" s="20">
        <v>68.3</v>
      </c>
      <c r="I202" s="20">
        <v>67.400000000000006</v>
      </c>
      <c r="J202" s="187">
        <v>66.7</v>
      </c>
      <c r="K202" s="20">
        <v>4</v>
      </c>
      <c r="L202" s="20">
        <v>2.6</v>
      </c>
      <c r="M202" s="20">
        <v>3</v>
      </c>
      <c r="N202" s="20">
        <v>2.8</v>
      </c>
      <c r="O202" s="20">
        <v>2.7</v>
      </c>
      <c r="P202" s="20">
        <v>3</v>
      </c>
      <c r="Q202" s="20">
        <v>3.5</v>
      </c>
      <c r="R202" s="20">
        <v>3.2</v>
      </c>
      <c r="S202" s="20">
        <v>3.1</v>
      </c>
      <c r="T202" s="20">
        <v>0.8</v>
      </c>
      <c r="U202" s="20">
        <v>0.7</v>
      </c>
      <c r="V202" s="20">
        <v>0.6</v>
      </c>
      <c r="W202" s="20">
        <v>0.5</v>
      </c>
      <c r="X202" s="20">
        <v>0.8</v>
      </c>
      <c r="Y202" s="20">
        <v>0.4</v>
      </c>
      <c r="Z202" s="20">
        <v>0.9</v>
      </c>
      <c r="AA202" s="20">
        <v>0.6</v>
      </c>
      <c r="AB202" s="20">
        <v>0.8</v>
      </c>
    </row>
    <row r="203" spans="1:28" x14ac:dyDescent="0.2">
      <c r="A203" s="22">
        <v>35309</v>
      </c>
      <c r="B203" s="20">
        <v>67.099999999999994</v>
      </c>
      <c r="C203" s="20">
        <v>67.599999999999994</v>
      </c>
      <c r="D203" s="20">
        <v>65.2</v>
      </c>
      <c r="E203" s="20">
        <v>66.599999999999994</v>
      </c>
      <c r="F203" s="20">
        <v>65.900000000000006</v>
      </c>
      <c r="G203" s="20">
        <v>68</v>
      </c>
      <c r="H203" s="20">
        <v>68.8</v>
      </c>
      <c r="I203" s="20">
        <v>67.400000000000006</v>
      </c>
      <c r="J203" s="187">
        <v>66.900000000000006</v>
      </c>
      <c r="K203" s="20">
        <v>2.4</v>
      </c>
      <c r="L203" s="20">
        <v>1.8</v>
      </c>
      <c r="M203" s="20">
        <v>2.2000000000000002</v>
      </c>
      <c r="N203" s="20">
        <v>1.8</v>
      </c>
      <c r="O203" s="20">
        <v>2.2999999999999998</v>
      </c>
      <c r="P203" s="20">
        <v>2.2999999999999998</v>
      </c>
      <c r="Q203" s="20">
        <v>3.1</v>
      </c>
      <c r="R203" s="20">
        <v>2</v>
      </c>
      <c r="S203" s="20">
        <v>2.1</v>
      </c>
      <c r="T203" s="20">
        <v>0.1</v>
      </c>
      <c r="U203" s="20">
        <v>0.4</v>
      </c>
      <c r="V203" s="20">
        <v>0.2</v>
      </c>
      <c r="W203" s="20">
        <v>0.2</v>
      </c>
      <c r="X203" s="20">
        <v>0.3</v>
      </c>
      <c r="Y203" s="20">
        <v>0.4</v>
      </c>
      <c r="Z203" s="20">
        <v>0.7</v>
      </c>
      <c r="AA203" s="20">
        <v>0</v>
      </c>
      <c r="AB203" s="20">
        <v>0.3</v>
      </c>
    </row>
    <row r="204" spans="1:28" x14ac:dyDescent="0.2">
      <c r="A204" s="22">
        <v>35400</v>
      </c>
      <c r="B204" s="20">
        <v>67.2</v>
      </c>
      <c r="C204" s="20">
        <v>67.7</v>
      </c>
      <c r="D204" s="20">
        <v>65.3</v>
      </c>
      <c r="E204" s="20">
        <v>66.8</v>
      </c>
      <c r="F204" s="20">
        <v>66</v>
      </c>
      <c r="G204" s="20">
        <v>68.099999999999994</v>
      </c>
      <c r="H204" s="20">
        <v>68.8</v>
      </c>
      <c r="I204" s="20">
        <v>67.400000000000006</v>
      </c>
      <c r="J204" s="187">
        <v>67</v>
      </c>
      <c r="K204" s="20">
        <v>1.7</v>
      </c>
      <c r="L204" s="20">
        <v>1.2</v>
      </c>
      <c r="M204" s="20">
        <v>1.7</v>
      </c>
      <c r="N204" s="20">
        <v>1.2</v>
      </c>
      <c r="O204" s="20">
        <v>1.9</v>
      </c>
      <c r="P204" s="20">
        <v>1.8</v>
      </c>
      <c r="Q204" s="20">
        <v>2.1</v>
      </c>
      <c r="R204" s="20">
        <v>1.2</v>
      </c>
      <c r="S204" s="20">
        <v>1.5</v>
      </c>
      <c r="T204" s="20">
        <v>0.1</v>
      </c>
      <c r="U204" s="20">
        <v>0.1</v>
      </c>
      <c r="V204" s="20">
        <v>0.2</v>
      </c>
      <c r="W204" s="20">
        <v>0.3</v>
      </c>
      <c r="X204" s="20">
        <v>0.2</v>
      </c>
      <c r="Y204" s="20">
        <v>0.1</v>
      </c>
      <c r="Z204" s="20">
        <v>0</v>
      </c>
      <c r="AA204" s="20">
        <v>0</v>
      </c>
      <c r="AB204" s="20">
        <v>0.1</v>
      </c>
    </row>
    <row r="205" spans="1:28" x14ac:dyDescent="0.2">
      <c r="A205" s="22">
        <v>35490</v>
      </c>
      <c r="B205" s="20">
        <v>67.3</v>
      </c>
      <c r="C205" s="20">
        <v>67.8</v>
      </c>
      <c r="D205" s="20">
        <v>65.7</v>
      </c>
      <c r="E205" s="20">
        <v>66.8</v>
      </c>
      <c r="F205" s="20">
        <v>65.900000000000006</v>
      </c>
      <c r="G205" s="20">
        <v>68.400000000000006</v>
      </c>
      <c r="H205" s="20">
        <v>68.8</v>
      </c>
      <c r="I205" s="20">
        <v>67.400000000000006</v>
      </c>
      <c r="J205" s="187">
        <v>67.099999999999994</v>
      </c>
      <c r="K205" s="20">
        <v>1.2</v>
      </c>
      <c r="L205" s="20">
        <v>1.5</v>
      </c>
      <c r="M205" s="20">
        <v>1.5</v>
      </c>
      <c r="N205" s="20">
        <v>0.9</v>
      </c>
      <c r="O205" s="20">
        <v>1.1000000000000001</v>
      </c>
      <c r="P205" s="20">
        <v>1.5</v>
      </c>
      <c r="Q205" s="20">
        <v>1.6</v>
      </c>
      <c r="R205" s="20">
        <v>0.6</v>
      </c>
      <c r="S205" s="20">
        <v>1.4</v>
      </c>
      <c r="T205" s="20">
        <v>0.1</v>
      </c>
      <c r="U205" s="20">
        <v>0.1</v>
      </c>
      <c r="V205" s="20">
        <v>0.6</v>
      </c>
      <c r="W205" s="20">
        <v>0</v>
      </c>
      <c r="X205" s="20">
        <v>-0.2</v>
      </c>
      <c r="Y205" s="20">
        <v>0.4</v>
      </c>
      <c r="Z205" s="20">
        <v>0</v>
      </c>
      <c r="AA205" s="20">
        <v>0</v>
      </c>
      <c r="AB205" s="20">
        <v>0.1</v>
      </c>
    </row>
    <row r="206" spans="1:28" x14ac:dyDescent="0.2">
      <c r="A206" s="22">
        <v>35582</v>
      </c>
      <c r="B206" s="20">
        <v>67.099999999999994</v>
      </c>
      <c r="C206" s="20">
        <v>67.7</v>
      </c>
      <c r="D206" s="20">
        <v>65.5</v>
      </c>
      <c r="E206" s="20">
        <v>66.400000000000006</v>
      </c>
      <c r="F206" s="20">
        <v>65.8</v>
      </c>
      <c r="G206" s="20">
        <v>68.099999999999994</v>
      </c>
      <c r="H206" s="20">
        <v>68.7</v>
      </c>
      <c r="I206" s="20">
        <v>66.8</v>
      </c>
      <c r="J206" s="187">
        <v>66.900000000000006</v>
      </c>
      <c r="K206" s="20">
        <v>0.1</v>
      </c>
      <c r="L206" s="20">
        <v>0.6</v>
      </c>
      <c r="M206" s="20">
        <v>0.6</v>
      </c>
      <c r="N206" s="20">
        <v>-0.2</v>
      </c>
      <c r="O206" s="20">
        <v>0.2</v>
      </c>
      <c r="P206" s="20">
        <v>0.6</v>
      </c>
      <c r="Q206" s="20">
        <v>0.6</v>
      </c>
      <c r="R206" s="20">
        <v>-0.9</v>
      </c>
      <c r="S206" s="20">
        <v>0.3</v>
      </c>
      <c r="T206" s="20">
        <v>-0.3</v>
      </c>
      <c r="U206" s="20">
        <v>-0.1</v>
      </c>
      <c r="V206" s="20">
        <v>-0.3</v>
      </c>
      <c r="W206" s="20">
        <v>-0.6</v>
      </c>
      <c r="X206" s="20">
        <v>-0.2</v>
      </c>
      <c r="Y206" s="20">
        <v>-0.4</v>
      </c>
      <c r="Z206" s="20">
        <v>-0.1</v>
      </c>
      <c r="AA206" s="20">
        <v>-0.9</v>
      </c>
      <c r="AB206" s="20">
        <v>-0.3</v>
      </c>
    </row>
    <row r="207" spans="1:28" x14ac:dyDescent="0.2">
      <c r="A207" s="22">
        <v>35674</v>
      </c>
      <c r="B207" s="20">
        <v>66.900000000000006</v>
      </c>
      <c r="C207" s="20">
        <v>67.5</v>
      </c>
      <c r="D207" s="20">
        <v>65.3</v>
      </c>
      <c r="E207" s="20">
        <v>66</v>
      </c>
      <c r="F207" s="20">
        <v>65.5</v>
      </c>
      <c r="G207" s="20">
        <v>67.7</v>
      </c>
      <c r="H207" s="20">
        <v>68.400000000000006</v>
      </c>
      <c r="I207" s="20">
        <v>66.5</v>
      </c>
      <c r="J207" s="187">
        <v>66.599999999999994</v>
      </c>
      <c r="K207" s="20">
        <v>-0.3</v>
      </c>
      <c r="L207" s="20">
        <v>-0.1</v>
      </c>
      <c r="M207" s="20">
        <v>0.2</v>
      </c>
      <c r="N207" s="20">
        <v>-0.9</v>
      </c>
      <c r="O207" s="20">
        <v>-0.6</v>
      </c>
      <c r="P207" s="20">
        <v>-0.4</v>
      </c>
      <c r="Q207" s="20">
        <v>-0.6</v>
      </c>
      <c r="R207" s="20">
        <v>-1.3</v>
      </c>
      <c r="S207" s="20">
        <v>-0.4</v>
      </c>
      <c r="T207" s="20">
        <v>-0.3</v>
      </c>
      <c r="U207" s="20">
        <v>-0.3</v>
      </c>
      <c r="V207" s="20">
        <v>-0.3</v>
      </c>
      <c r="W207" s="20">
        <v>-0.6</v>
      </c>
      <c r="X207" s="20">
        <v>-0.5</v>
      </c>
      <c r="Y207" s="20">
        <v>-0.6</v>
      </c>
      <c r="Z207" s="20">
        <v>-0.4</v>
      </c>
      <c r="AA207" s="20">
        <v>-0.4</v>
      </c>
      <c r="AB207" s="20">
        <v>-0.4</v>
      </c>
    </row>
    <row r="208" spans="1:28" x14ac:dyDescent="0.2">
      <c r="A208" s="22">
        <v>35765</v>
      </c>
      <c r="B208" s="20">
        <v>67.099999999999994</v>
      </c>
      <c r="C208" s="20">
        <v>67.7</v>
      </c>
      <c r="D208" s="20">
        <v>65.7</v>
      </c>
      <c r="E208" s="20">
        <v>66</v>
      </c>
      <c r="F208" s="20">
        <v>65.5</v>
      </c>
      <c r="G208" s="20">
        <v>68</v>
      </c>
      <c r="H208" s="20">
        <v>68.3</v>
      </c>
      <c r="I208" s="20">
        <v>66.5</v>
      </c>
      <c r="J208" s="187">
        <v>66.8</v>
      </c>
      <c r="K208" s="20">
        <v>-0.1</v>
      </c>
      <c r="L208" s="20">
        <v>0</v>
      </c>
      <c r="M208" s="20">
        <v>0.6</v>
      </c>
      <c r="N208" s="20">
        <v>-1.2</v>
      </c>
      <c r="O208" s="20">
        <v>-0.8</v>
      </c>
      <c r="P208" s="20">
        <v>-0.1</v>
      </c>
      <c r="Q208" s="20">
        <v>-0.7</v>
      </c>
      <c r="R208" s="20">
        <v>-1.3</v>
      </c>
      <c r="S208" s="20">
        <v>-0.3</v>
      </c>
      <c r="T208" s="20">
        <v>0.3</v>
      </c>
      <c r="U208" s="20">
        <v>0.3</v>
      </c>
      <c r="V208" s="20">
        <v>0.6</v>
      </c>
      <c r="W208" s="20">
        <v>0</v>
      </c>
      <c r="X208" s="20">
        <v>0</v>
      </c>
      <c r="Y208" s="20">
        <v>0.4</v>
      </c>
      <c r="Z208" s="20">
        <v>-0.1</v>
      </c>
      <c r="AA208" s="20">
        <v>0</v>
      </c>
      <c r="AB208" s="20">
        <v>0.3</v>
      </c>
    </row>
    <row r="209" spans="1:28" x14ac:dyDescent="0.2">
      <c r="A209" s="22">
        <v>35855</v>
      </c>
      <c r="B209" s="20">
        <v>67.400000000000006</v>
      </c>
      <c r="C209" s="20">
        <v>67.599999999999994</v>
      </c>
      <c r="D209" s="20">
        <v>65.900000000000006</v>
      </c>
      <c r="E209" s="20">
        <v>66.3</v>
      </c>
      <c r="F209" s="20">
        <v>65.7</v>
      </c>
      <c r="G209" s="20">
        <v>68.2</v>
      </c>
      <c r="H209" s="20">
        <v>68.7</v>
      </c>
      <c r="I209" s="20">
        <v>66.900000000000006</v>
      </c>
      <c r="J209" s="187">
        <v>67</v>
      </c>
      <c r="K209" s="20">
        <v>0.1</v>
      </c>
      <c r="L209" s="20">
        <v>-0.3</v>
      </c>
      <c r="M209" s="20">
        <v>0.3</v>
      </c>
      <c r="N209" s="20">
        <v>-0.7</v>
      </c>
      <c r="O209" s="20">
        <v>-0.3</v>
      </c>
      <c r="P209" s="20">
        <v>-0.3</v>
      </c>
      <c r="Q209" s="20">
        <v>-0.1</v>
      </c>
      <c r="R209" s="20">
        <v>-0.7</v>
      </c>
      <c r="S209" s="20">
        <v>-0.1</v>
      </c>
      <c r="T209" s="20">
        <v>0.4</v>
      </c>
      <c r="U209" s="20">
        <v>-0.1</v>
      </c>
      <c r="V209" s="20">
        <v>0.3</v>
      </c>
      <c r="W209" s="20">
        <v>0.5</v>
      </c>
      <c r="X209" s="20">
        <v>0.3</v>
      </c>
      <c r="Y209" s="20">
        <v>0.3</v>
      </c>
      <c r="Z209" s="20">
        <v>0.6</v>
      </c>
      <c r="AA209" s="20">
        <v>0.6</v>
      </c>
      <c r="AB209" s="20">
        <v>0.3</v>
      </c>
    </row>
    <row r="210" spans="1:28" x14ac:dyDescent="0.2">
      <c r="A210" s="22">
        <v>35947</v>
      </c>
      <c r="B210" s="20">
        <v>67.8</v>
      </c>
      <c r="C210" s="20">
        <v>68</v>
      </c>
      <c r="D210" s="20">
        <v>66.2</v>
      </c>
      <c r="E210" s="20">
        <v>66.7</v>
      </c>
      <c r="F210" s="20">
        <v>66.2</v>
      </c>
      <c r="G210" s="20">
        <v>68.5</v>
      </c>
      <c r="H210" s="20">
        <v>68.900000000000006</v>
      </c>
      <c r="I210" s="20">
        <v>67.3</v>
      </c>
      <c r="J210" s="187">
        <v>67.400000000000006</v>
      </c>
      <c r="K210" s="20">
        <v>1</v>
      </c>
      <c r="L210" s="20">
        <v>0.4</v>
      </c>
      <c r="M210" s="20">
        <v>1.1000000000000001</v>
      </c>
      <c r="N210" s="20">
        <v>0.5</v>
      </c>
      <c r="O210" s="20">
        <v>0.6</v>
      </c>
      <c r="P210" s="20">
        <v>0.6</v>
      </c>
      <c r="Q210" s="20">
        <v>0.3</v>
      </c>
      <c r="R210" s="20">
        <v>0.7</v>
      </c>
      <c r="S210" s="20">
        <v>0.7</v>
      </c>
      <c r="T210" s="20">
        <v>0.6</v>
      </c>
      <c r="U210" s="20">
        <v>0.6</v>
      </c>
      <c r="V210" s="20">
        <v>0.5</v>
      </c>
      <c r="W210" s="20">
        <v>0.6</v>
      </c>
      <c r="X210" s="20">
        <v>0.8</v>
      </c>
      <c r="Y210" s="20">
        <v>0.4</v>
      </c>
      <c r="Z210" s="20">
        <v>0.3</v>
      </c>
      <c r="AA210" s="20">
        <v>0.6</v>
      </c>
      <c r="AB210" s="20">
        <v>0.6</v>
      </c>
    </row>
    <row r="211" spans="1:28" x14ac:dyDescent="0.2">
      <c r="A211" s="22">
        <v>36039</v>
      </c>
      <c r="B211" s="20">
        <v>68</v>
      </c>
      <c r="C211" s="20">
        <v>68</v>
      </c>
      <c r="D211" s="20">
        <v>66.3</v>
      </c>
      <c r="E211" s="20">
        <v>67</v>
      </c>
      <c r="F211" s="20">
        <v>66.7</v>
      </c>
      <c r="G211" s="20">
        <v>68.900000000000006</v>
      </c>
      <c r="H211" s="20">
        <v>69.099999999999994</v>
      </c>
      <c r="I211" s="20">
        <v>67.3</v>
      </c>
      <c r="J211" s="187">
        <v>67.5</v>
      </c>
      <c r="K211" s="20">
        <v>1.6</v>
      </c>
      <c r="L211" s="20">
        <v>0.7</v>
      </c>
      <c r="M211" s="20">
        <v>1.5</v>
      </c>
      <c r="N211" s="20">
        <v>1.5</v>
      </c>
      <c r="O211" s="20">
        <v>1.8</v>
      </c>
      <c r="P211" s="20">
        <v>1.8</v>
      </c>
      <c r="Q211" s="20">
        <v>1</v>
      </c>
      <c r="R211" s="20">
        <v>1.2</v>
      </c>
      <c r="S211" s="20">
        <v>1.4</v>
      </c>
      <c r="T211" s="20">
        <v>0.3</v>
      </c>
      <c r="U211" s="20">
        <v>0</v>
      </c>
      <c r="V211" s="20">
        <v>0.2</v>
      </c>
      <c r="W211" s="20">
        <v>0.4</v>
      </c>
      <c r="X211" s="20">
        <v>0.8</v>
      </c>
      <c r="Y211" s="20">
        <v>0.6</v>
      </c>
      <c r="Z211" s="20">
        <v>0.3</v>
      </c>
      <c r="AA211" s="20">
        <v>0</v>
      </c>
      <c r="AB211" s="20">
        <v>0.1</v>
      </c>
    </row>
    <row r="212" spans="1:28" x14ac:dyDescent="0.2">
      <c r="A212" s="22">
        <v>36130</v>
      </c>
      <c r="B212" s="20">
        <v>68.400000000000006</v>
      </c>
      <c r="C212" s="20">
        <v>68.3</v>
      </c>
      <c r="D212" s="20">
        <v>66.5</v>
      </c>
      <c r="E212" s="20">
        <v>67.3</v>
      </c>
      <c r="F212" s="20">
        <v>67</v>
      </c>
      <c r="G212" s="20">
        <v>68.900000000000006</v>
      </c>
      <c r="H212" s="20">
        <v>69.3</v>
      </c>
      <c r="I212" s="20">
        <v>67.5</v>
      </c>
      <c r="J212" s="187">
        <v>67.8</v>
      </c>
      <c r="K212" s="20">
        <v>1.9</v>
      </c>
      <c r="L212" s="20">
        <v>0.9</v>
      </c>
      <c r="M212" s="20">
        <v>1.2</v>
      </c>
      <c r="N212" s="20">
        <v>2</v>
      </c>
      <c r="O212" s="20">
        <v>2.2999999999999998</v>
      </c>
      <c r="P212" s="20">
        <v>1.3</v>
      </c>
      <c r="Q212" s="20">
        <v>1.5</v>
      </c>
      <c r="R212" s="20">
        <v>1.5</v>
      </c>
      <c r="S212" s="20">
        <v>1.5</v>
      </c>
      <c r="T212" s="20">
        <v>0.6</v>
      </c>
      <c r="U212" s="20">
        <v>0.4</v>
      </c>
      <c r="V212" s="20">
        <v>0.3</v>
      </c>
      <c r="W212" s="20">
        <v>0.4</v>
      </c>
      <c r="X212" s="20">
        <v>0.4</v>
      </c>
      <c r="Y212" s="20">
        <v>0</v>
      </c>
      <c r="Z212" s="20">
        <v>0.3</v>
      </c>
      <c r="AA212" s="20">
        <v>0.3</v>
      </c>
      <c r="AB212" s="20">
        <v>0.4</v>
      </c>
    </row>
    <row r="213" spans="1:28" x14ac:dyDescent="0.2">
      <c r="A213" s="22">
        <v>36220</v>
      </c>
      <c r="B213" s="20">
        <v>68.400000000000006</v>
      </c>
      <c r="C213" s="20">
        <v>68.3</v>
      </c>
      <c r="D213" s="20">
        <v>66.400000000000006</v>
      </c>
      <c r="E213" s="20">
        <v>66.8</v>
      </c>
      <c r="F213" s="20">
        <v>66.7</v>
      </c>
      <c r="G213" s="20">
        <v>68.599999999999994</v>
      </c>
      <c r="H213" s="20">
        <v>69</v>
      </c>
      <c r="I213" s="20">
        <v>67.400000000000006</v>
      </c>
      <c r="J213" s="187">
        <v>67.8</v>
      </c>
      <c r="K213" s="20">
        <v>1.5</v>
      </c>
      <c r="L213" s="20">
        <v>1</v>
      </c>
      <c r="M213" s="20">
        <v>0.8</v>
      </c>
      <c r="N213" s="20">
        <v>0.8</v>
      </c>
      <c r="O213" s="20">
        <v>1.5</v>
      </c>
      <c r="P213" s="20">
        <v>0.6</v>
      </c>
      <c r="Q213" s="20">
        <v>0.4</v>
      </c>
      <c r="R213" s="20">
        <v>0.7</v>
      </c>
      <c r="S213" s="20">
        <v>1.2</v>
      </c>
      <c r="T213" s="20">
        <v>0</v>
      </c>
      <c r="U213" s="20">
        <v>0</v>
      </c>
      <c r="V213" s="20">
        <v>-0.2</v>
      </c>
      <c r="W213" s="20">
        <v>-0.7</v>
      </c>
      <c r="X213" s="20">
        <v>-0.4</v>
      </c>
      <c r="Y213" s="20">
        <v>-0.4</v>
      </c>
      <c r="Z213" s="20">
        <v>-0.4</v>
      </c>
      <c r="AA213" s="20">
        <v>-0.1</v>
      </c>
      <c r="AB213" s="20">
        <v>0</v>
      </c>
    </row>
    <row r="214" spans="1:28" x14ac:dyDescent="0.2">
      <c r="A214" s="22">
        <v>36312</v>
      </c>
      <c r="B214" s="20">
        <v>68.7</v>
      </c>
      <c r="C214" s="20">
        <v>68.599999999999994</v>
      </c>
      <c r="D214" s="20">
        <v>66.599999999999994</v>
      </c>
      <c r="E214" s="20">
        <v>67.3</v>
      </c>
      <c r="F214" s="20">
        <v>67.3</v>
      </c>
      <c r="G214" s="20">
        <v>68.8</v>
      </c>
      <c r="H214" s="20">
        <v>69.400000000000006</v>
      </c>
      <c r="I214" s="20">
        <v>67.400000000000006</v>
      </c>
      <c r="J214" s="187">
        <v>68.099999999999994</v>
      </c>
      <c r="K214" s="20">
        <v>1.3</v>
      </c>
      <c r="L214" s="20">
        <v>0.9</v>
      </c>
      <c r="M214" s="20">
        <v>0.6</v>
      </c>
      <c r="N214" s="20">
        <v>0.9</v>
      </c>
      <c r="O214" s="20">
        <v>1.7</v>
      </c>
      <c r="P214" s="20">
        <v>0.4</v>
      </c>
      <c r="Q214" s="20">
        <v>0.7</v>
      </c>
      <c r="R214" s="20">
        <v>0.1</v>
      </c>
      <c r="S214" s="20">
        <v>1</v>
      </c>
      <c r="T214" s="20">
        <v>0.4</v>
      </c>
      <c r="U214" s="20">
        <v>0.4</v>
      </c>
      <c r="V214" s="20">
        <v>0.3</v>
      </c>
      <c r="W214" s="20">
        <v>0.7</v>
      </c>
      <c r="X214" s="20">
        <v>0.9</v>
      </c>
      <c r="Y214" s="20">
        <v>0.3</v>
      </c>
      <c r="Z214" s="20">
        <v>0.6</v>
      </c>
      <c r="AA214" s="20">
        <v>0</v>
      </c>
      <c r="AB214" s="20">
        <v>0.4</v>
      </c>
    </row>
    <row r="215" spans="1:28" x14ac:dyDescent="0.2">
      <c r="A215" s="22">
        <v>36404</v>
      </c>
      <c r="B215" s="20">
        <v>69.3</v>
      </c>
      <c r="C215" s="20">
        <v>69.3</v>
      </c>
      <c r="D215" s="20">
        <v>67.099999999999994</v>
      </c>
      <c r="E215" s="20">
        <v>68.099999999999994</v>
      </c>
      <c r="F215" s="20">
        <v>67.900000000000006</v>
      </c>
      <c r="G215" s="20">
        <v>69.2</v>
      </c>
      <c r="H215" s="20">
        <v>69.5</v>
      </c>
      <c r="I215" s="20">
        <v>68</v>
      </c>
      <c r="J215" s="187">
        <v>68.7</v>
      </c>
      <c r="K215" s="20">
        <v>1.9</v>
      </c>
      <c r="L215" s="20">
        <v>1.9</v>
      </c>
      <c r="M215" s="20">
        <v>1.2</v>
      </c>
      <c r="N215" s="20">
        <v>1.6</v>
      </c>
      <c r="O215" s="20">
        <v>1.8</v>
      </c>
      <c r="P215" s="20">
        <v>0.4</v>
      </c>
      <c r="Q215" s="20">
        <v>0.6</v>
      </c>
      <c r="R215" s="20">
        <v>1</v>
      </c>
      <c r="S215" s="20">
        <v>1.8</v>
      </c>
      <c r="T215" s="20">
        <v>0.9</v>
      </c>
      <c r="U215" s="20">
        <v>1</v>
      </c>
      <c r="V215" s="20">
        <v>0.8</v>
      </c>
      <c r="W215" s="20">
        <v>1.2</v>
      </c>
      <c r="X215" s="20">
        <v>0.9</v>
      </c>
      <c r="Y215" s="20">
        <v>0.6</v>
      </c>
      <c r="Z215" s="20">
        <v>0.1</v>
      </c>
      <c r="AA215" s="20">
        <v>0.9</v>
      </c>
      <c r="AB215" s="20">
        <v>0.9</v>
      </c>
    </row>
    <row r="216" spans="1:28" x14ac:dyDescent="0.2">
      <c r="A216" s="22">
        <v>36495</v>
      </c>
      <c r="B216" s="20">
        <v>69.7</v>
      </c>
      <c r="C216" s="20">
        <v>69.7</v>
      </c>
      <c r="D216" s="20">
        <v>67.099999999999994</v>
      </c>
      <c r="E216" s="20">
        <v>68.5</v>
      </c>
      <c r="F216" s="20">
        <v>68.3</v>
      </c>
      <c r="G216" s="20">
        <v>69.599999999999994</v>
      </c>
      <c r="H216" s="20">
        <v>69.900000000000006</v>
      </c>
      <c r="I216" s="20">
        <v>68.599999999999994</v>
      </c>
      <c r="J216" s="187">
        <v>69.099999999999994</v>
      </c>
      <c r="K216" s="20">
        <v>1.9</v>
      </c>
      <c r="L216" s="20">
        <v>2</v>
      </c>
      <c r="M216" s="20">
        <v>0.9</v>
      </c>
      <c r="N216" s="20">
        <v>1.8</v>
      </c>
      <c r="O216" s="20">
        <v>1.9</v>
      </c>
      <c r="P216" s="20">
        <v>1</v>
      </c>
      <c r="Q216" s="20">
        <v>0.9</v>
      </c>
      <c r="R216" s="20">
        <v>1.6</v>
      </c>
      <c r="S216" s="20">
        <v>1.9</v>
      </c>
      <c r="T216" s="20">
        <v>0.6</v>
      </c>
      <c r="U216" s="20">
        <v>0.6</v>
      </c>
      <c r="V216" s="20">
        <v>0</v>
      </c>
      <c r="W216" s="20">
        <v>0.6</v>
      </c>
      <c r="X216" s="20">
        <v>0.6</v>
      </c>
      <c r="Y216" s="20">
        <v>0.6</v>
      </c>
      <c r="Z216" s="20">
        <v>0.6</v>
      </c>
      <c r="AA216" s="20">
        <v>0.9</v>
      </c>
      <c r="AB216" s="20">
        <v>0.6</v>
      </c>
    </row>
    <row r="217" spans="1:28" x14ac:dyDescent="0.2">
      <c r="A217" s="22">
        <v>36586</v>
      </c>
      <c r="B217" s="20">
        <v>70.3</v>
      </c>
      <c r="C217" s="20">
        <v>70.5</v>
      </c>
      <c r="D217" s="20">
        <v>67.900000000000006</v>
      </c>
      <c r="E217" s="20">
        <v>69.099999999999994</v>
      </c>
      <c r="F217" s="20">
        <v>68.599999999999994</v>
      </c>
      <c r="G217" s="20">
        <v>70.3</v>
      </c>
      <c r="H217" s="20">
        <v>70.3</v>
      </c>
      <c r="I217" s="20">
        <v>69.3</v>
      </c>
      <c r="J217" s="187">
        <v>69.7</v>
      </c>
      <c r="K217" s="20">
        <v>2.8</v>
      </c>
      <c r="L217" s="20">
        <v>3.2</v>
      </c>
      <c r="M217" s="20">
        <v>2.2999999999999998</v>
      </c>
      <c r="N217" s="20">
        <v>3.4</v>
      </c>
      <c r="O217" s="20">
        <v>2.8</v>
      </c>
      <c r="P217" s="20">
        <v>2.5</v>
      </c>
      <c r="Q217" s="20">
        <v>1.9</v>
      </c>
      <c r="R217" s="20">
        <v>2.8</v>
      </c>
      <c r="S217" s="20">
        <v>2.8</v>
      </c>
      <c r="T217" s="20">
        <v>0.9</v>
      </c>
      <c r="U217" s="20">
        <v>1.1000000000000001</v>
      </c>
      <c r="V217" s="20">
        <v>1.2</v>
      </c>
      <c r="W217" s="20">
        <v>0.9</v>
      </c>
      <c r="X217" s="20">
        <v>0.4</v>
      </c>
      <c r="Y217" s="20">
        <v>1</v>
      </c>
      <c r="Z217" s="20">
        <v>0.6</v>
      </c>
      <c r="AA217" s="20">
        <v>1</v>
      </c>
      <c r="AB217" s="20">
        <v>0.9</v>
      </c>
    </row>
    <row r="218" spans="1:28" x14ac:dyDescent="0.2">
      <c r="A218" s="22">
        <v>36678</v>
      </c>
      <c r="B218" s="20">
        <v>70.900000000000006</v>
      </c>
      <c r="C218" s="20">
        <v>70.900000000000006</v>
      </c>
      <c r="D218" s="20">
        <v>68.3</v>
      </c>
      <c r="E218" s="20">
        <v>69.5</v>
      </c>
      <c r="F218" s="20">
        <v>69.099999999999994</v>
      </c>
      <c r="G218" s="20">
        <v>71</v>
      </c>
      <c r="H218" s="20">
        <v>71.099999999999994</v>
      </c>
      <c r="I218" s="20">
        <v>69.900000000000006</v>
      </c>
      <c r="J218" s="187">
        <v>70.2</v>
      </c>
      <c r="K218" s="20">
        <v>3.2</v>
      </c>
      <c r="L218" s="20">
        <v>3.4</v>
      </c>
      <c r="M218" s="20">
        <v>2.6</v>
      </c>
      <c r="N218" s="20">
        <v>3.3</v>
      </c>
      <c r="O218" s="20">
        <v>2.7</v>
      </c>
      <c r="P218" s="20">
        <v>3.2</v>
      </c>
      <c r="Q218" s="20">
        <v>2.4</v>
      </c>
      <c r="R218" s="20">
        <v>3.7</v>
      </c>
      <c r="S218" s="20">
        <v>3.1</v>
      </c>
      <c r="T218" s="20">
        <v>0.9</v>
      </c>
      <c r="U218" s="20">
        <v>0.6</v>
      </c>
      <c r="V218" s="20">
        <v>0.6</v>
      </c>
      <c r="W218" s="20">
        <v>0.6</v>
      </c>
      <c r="X218" s="20">
        <v>0.7</v>
      </c>
      <c r="Y218" s="20">
        <v>1</v>
      </c>
      <c r="Z218" s="20">
        <v>1.1000000000000001</v>
      </c>
      <c r="AA218" s="20">
        <v>0.9</v>
      </c>
      <c r="AB218" s="20">
        <v>0.7</v>
      </c>
    </row>
    <row r="219" spans="1:28" x14ac:dyDescent="0.2">
      <c r="A219" s="22">
        <v>36770</v>
      </c>
      <c r="B219" s="20">
        <v>73.5</v>
      </c>
      <c r="C219" s="20">
        <v>73.599999999999994</v>
      </c>
      <c r="D219" s="20">
        <v>71</v>
      </c>
      <c r="E219" s="20">
        <v>72.099999999999994</v>
      </c>
      <c r="F219" s="20">
        <v>71.599999999999994</v>
      </c>
      <c r="G219" s="20">
        <v>73.7</v>
      </c>
      <c r="H219" s="20">
        <v>73.5</v>
      </c>
      <c r="I219" s="20">
        <v>72.5</v>
      </c>
      <c r="J219" s="187">
        <v>72.900000000000006</v>
      </c>
      <c r="K219" s="20">
        <v>6.1</v>
      </c>
      <c r="L219" s="20">
        <v>6.2</v>
      </c>
      <c r="M219" s="20">
        <v>5.8</v>
      </c>
      <c r="N219" s="20">
        <v>5.9</v>
      </c>
      <c r="O219" s="20">
        <v>5.4</v>
      </c>
      <c r="P219" s="20">
        <v>6.5</v>
      </c>
      <c r="Q219" s="20">
        <v>5.8</v>
      </c>
      <c r="R219" s="20">
        <v>6.6</v>
      </c>
      <c r="S219" s="20">
        <v>6.1</v>
      </c>
      <c r="T219" s="20">
        <v>3.7</v>
      </c>
      <c r="U219" s="20">
        <v>3.8</v>
      </c>
      <c r="V219" s="20">
        <v>4</v>
      </c>
      <c r="W219" s="20">
        <v>3.7</v>
      </c>
      <c r="X219" s="20">
        <v>3.6</v>
      </c>
      <c r="Y219" s="20">
        <v>3.8</v>
      </c>
      <c r="Z219" s="20">
        <v>3.4</v>
      </c>
      <c r="AA219" s="20">
        <v>3.7</v>
      </c>
      <c r="AB219" s="20">
        <v>3.8</v>
      </c>
    </row>
    <row r="220" spans="1:28" x14ac:dyDescent="0.2">
      <c r="A220" s="22">
        <v>36861</v>
      </c>
      <c r="B220" s="20">
        <v>73.8</v>
      </c>
      <c r="C220" s="20">
        <v>73.900000000000006</v>
      </c>
      <c r="D220" s="20">
        <v>71.2</v>
      </c>
      <c r="E220" s="20">
        <v>72.2</v>
      </c>
      <c r="F220" s="20">
        <v>71.8</v>
      </c>
      <c r="G220" s="20">
        <v>73.7</v>
      </c>
      <c r="H220" s="20">
        <v>73.900000000000006</v>
      </c>
      <c r="I220" s="20">
        <v>72.8</v>
      </c>
      <c r="J220" s="187">
        <v>73.099999999999994</v>
      </c>
      <c r="K220" s="20">
        <v>5.9</v>
      </c>
      <c r="L220" s="20">
        <v>6</v>
      </c>
      <c r="M220" s="20">
        <v>6.1</v>
      </c>
      <c r="N220" s="20">
        <v>5.4</v>
      </c>
      <c r="O220" s="20">
        <v>5.0999999999999996</v>
      </c>
      <c r="P220" s="20">
        <v>5.9</v>
      </c>
      <c r="Q220" s="20">
        <v>5.7</v>
      </c>
      <c r="R220" s="20">
        <v>6.1</v>
      </c>
      <c r="S220" s="20">
        <v>5.8</v>
      </c>
      <c r="T220" s="20">
        <v>0.4</v>
      </c>
      <c r="U220" s="20">
        <v>0.4</v>
      </c>
      <c r="V220" s="20">
        <v>0.3</v>
      </c>
      <c r="W220" s="20">
        <v>0.1</v>
      </c>
      <c r="X220" s="20">
        <v>0.3</v>
      </c>
      <c r="Y220" s="20">
        <v>0</v>
      </c>
      <c r="Z220" s="20">
        <v>0.5</v>
      </c>
      <c r="AA220" s="20">
        <v>0.4</v>
      </c>
      <c r="AB220" s="20">
        <v>0.3</v>
      </c>
    </row>
    <row r="221" spans="1:28" x14ac:dyDescent="0.2">
      <c r="A221" s="22">
        <v>36951</v>
      </c>
      <c r="B221" s="20">
        <v>74.8</v>
      </c>
      <c r="C221" s="20">
        <v>74.7</v>
      </c>
      <c r="D221" s="20">
        <v>71.8</v>
      </c>
      <c r="E221" s="20">
        <v>73</v>
      </c>
      <c r="F221" s="20">
        <v>72.2</v>
      </c>
      <c r="G221" s="20">
        <v>74.2</v>
      </c>
      <c r="H221" s="20">
        <v>73.900000000000006</v>
      </c>
      <c r="I221" s="20">
        <v>73.3</v>
      </c>
      <c r="J221" s="187">
        <v>73.900000000000006</v>
      </c>
      <c r="K221" s="20">
        <v>6.4</v>
      </c>
      <c r="L221" s="20">
        <v>6</v>
      </c>
      <c r="M221" s="20">
        <v>5.7</v>
      </c>
      <c r="N221" s="20">
        <v>5.6</v>
      </c>
      <c r="O221" s="20">
        <v>5.2</v>
      </c>
      <c r="P221" s="20">
        <v>5.5</v>
      </c>
      <c r="Q221" s="20">
        <v>5.0999999999999996</v>
      </c>
      <c r="R221" s="20">
        <v>5.8</v>
      </c>
      <c r="S221" s="20">
        <v>6</v>
      </c>
      <c r="T221" s="20">
        <v>1.4</v>
      </c>
      <c r="U221" s="20">
        <v>1.1000000000000001</v>
      </c>
      <c r="V221" s="20">
        <v>0.8</v>
      </c>
      <c r="W221" s="20">
        <v>1.1000000000000001</v>
      </c>
      <c r="X221" s="20">
        <v>0.6</v>
      </c>
      <c r="Y221" s="20">
        <v>0.7</v>
      </c>
      <c r="Z221" s="20">
        <v>0</v>
      </c>
      <c r="AA221" s="20">
        <v>0.7</v>
      </c>
      <c r="AB221" s="20">
        <v>1.1000000000000001</v>
      </c>
    </row>
    <row r="222" spans="1:28" x14ac:dyDescent="0.2">
      <c r="A222" s="22">
        <v>37043</v>
      </c>
      <c r="B222" s="20">
        <v>75.400000000000006</v>
      </c>
      <c r="C222" s="20">
        <v>75.099999999999994</v>
      </c>
      <c r="D222" s="20">
        <v>72.5</v>
      </c>
      <c r="E222" s="20">
        <v>73.599999999999994</v>
      </c>
      <c r="F222" s="20">
        <v>73.2</v>
      </c>
      <c r="G222" s="20">
        <v>74.900000000000006</v>
      </c>
      <c r="H222" s="20">
        <v>74.7</v>
      </c>
      <c r="I222" s="20">
        <v>74</v>
      </c>
      <c r="J222" s="187">
        <v>74.5</v>
      </c>
      <c r="K222" s="20">
        <v>6.3</v>
      </c>
      <c r="L222" s="20">
        <v>5.9</v>
      </c>
      <c r="M222" s="20">
        <v>6.1</v>
      </c>
      <c r="N222" s="20">
        <v>5.9</v>
      </c>
      <c r="O222" s="20">
        <v>5.9</v>
      </c>
      <c r="P222" s="20">
        <v>5.5</v>
      </c>
      <c r="Q222" s="20">
        <v>5.0999999999999996</v>
      </c>
      <c r="R222" s="20">
        <v>5.9</v>
      </c>
      <c r="S222" s="20">
        <v>6.1</v>
      </c>
      <c r="T222" s="20">
        <v>0.8</v>
      </c>
      <c r="U222" s="20">
        <v>0.5</v>
      </c>
      <c r="V222" s="20">
        <v>1</v>
      </c>
      <c r="W222" s="20">
        <v>0.8</v>
      </c>
      <c r="X222" s="20">
        <v>1.4</v>
      </c>
      <c r="Y222" s="20">
        <v>0.9</v>
      </c>
      <c r="Z222" s="20">
        <v>1.1000000000000001</v>
      </c>
      <c r="AA222" s="20">
        <v>1</v>
      </c>
      <c r="AB222" s="20">
        <v>0.8</v>
      </c>
    </row>
    <row r="223" spans="1:28" x14ac:dyDescent="0.2">
      <c r="A223" s="22">
        <v>37135</v>
      </c>
      <c r="B223" s="20">
        <v>75.599999999999994</v>
      </c>
      <c r="C223" s="20">
        <v>75.5</v>
      </c>
      <c r="D223" s="20">
        <v>72.599999999999994</v>
      </c>
      <c r="E223" s="20">
        <v>73.7</v>
      </c>
      <c r="F223" s="20">
        <v>73.3</v>
      </c>
      <c r="G223" s="20">
        <v>74.599999999999994</v>
      </c>
      <c r="H223" s="20">
        <v>74.900000000000006</v>
      </c>
      <c r="I223" s="20">
        <v>74</v>
      </c>
      <c r="J223" s="187">
        <v>74.7</v>
      </c>
      <c r="K223" s="20">
        <v>2.9</v>
      </c>
      <c r="L223" s="20">
        <v>2.6</v>
      </c>
      <c r="M223" s="20">
        <v>2.2999999999999998</v>
      </c>
      <c r="N223" s="20">
        <v>2.2000000000000002</v>
      </c>
      <c r="O223" s="20">
        <v>2.4</v>
      </c>
      <c r="P223" s="20">
        <v>1.2</v>
      </c>
      <c r="Q223" s="20">
        <v>1.9</v>
      </c>
      <c r="R223" s="20">
        <v>2.1</v>
      </c>
      <c r="S223" s="20">
        <v>2.5</v>
      </c>
      <c r="T223" s="20">
        <v>0.3</v>
      </c>
      <c r="U223" s="20">
        <v>0.5</v>
      </c>
      <c r="V223" s="20">
        <v>0.1</v>
      </c>
      <c r="W223" s="20">
        <v>0.1</v>
      </c>
      <c r="X223" s="20">
        <v>0.1</v>
      </c>
      <c r="Y223" s="20">
        <v>-0.4</v>
      </c>
      <c r="Z223" s="20">
        <v>0.3</v>
      </c>
      <c r="AA223" s="20">
        <v>0</v>
      </c>
      <c r="AB223" s="20">
        <v>0.3</v>
      </c>
    </row>
    <row r="224" spans="1:28" x14ac:dyDescent="0.2">
      <c r="A224" s="22">
        <v>37226</v>
      </c>
      <c r="B224" s="20">
        <v>76.3</v>
      </c>
      <c r="C224" s="20">
        <v>76.099999999999994</v>
      </c>
      <c r="D224" s="20">
        <v>73.5</v>
      </c>
      <c r="E224" s="20">
        <v>74.400000000000006</v>
      </c>
      <c r="F224" s="20">
        <v>73.900000000000006</v>
      </c>
      <c r="G224" s="20">
        <v>75.2</v>
      </c>
      <c r="H224" s="20">
        <v>75.5</v>
      </c>
      <c r="I224" s="20">
        <v>74.900000000000006</v>
      </c>
      <c r="J224" s="187">
        <v>75.400000000000006</v>
      </c>
      <c r="K224" s="20">
        <v>3.4</v>
      </c>
      <c r="L224" s="20">
        <v>3</v>
      </c>
      <c r="M224" s="20">
        <v>3.2</v>
      </c>
      <c r="N224" s="20">
        <v>3</v>
      </c>
      <c r="O224" s="20">
        <v>2.9</v>
      </c>
      <c r="P224" s="20">
        <v>2</v>
      </c>
      <c r="Q224" s="20">
        <v>2.2000000000000002</v>
      </c>
      <c r="R224" s="20">
        <v>2.9</v>
      </c>
      <c r="S224" s="20">
        <v>3.1</v>
      </c>
      <c r="T224" s="20">
        <v>0.9</v>
      </c>
      <c r="U224" s="20">
        <v>0.8</v>
      </c>
      <c r="V224" s="20">
        <v>1.2</v>
      </c>
      <c r="W224" s="20">
        <v>0.9</v>
      </c>
      <c r="X224" s="20">
        <v>0.8</v>
      </c>
      <c r="Y224" s="20">
        <v>0.8</v>
      </c>
      <c r="Z224" s="20">
        <v>0.8</v>
      </c>
      <c r="AA224" s="20">
        <v>1.2</v>
      </c>
      <c r="AB224" s="20">
        <v>0.9</v>
      </c>
    </row>
    <row r="225" spans="1:28" x14ac:dyDescent="0.2">
      <c r="A225" s="22">
        <v>37316</v>
      </c>
      <c r="B225" s="20">
        <v>77</v>
      </c>
      <c r="C225" s="20">
        <v>76.900000000000006</v>
      </c>
      <c r="D225" s="20">
        <v>74.2</v>
      </c>
      <c r="E225" s="20">
        <v>75</v>
      </c>
      <c r="F225" s="20">
        <v>74.5</v>
      </c>
      <c r="G225" s="20">
        <v>75.900000000000006</v>
      </c>
      <c r="H225" s="20">
        <v>75.7</v>
      </c>
      <c r="I225" s="20">
        <v>75.3</v>
      </c>
      <c r="J225" s="187">
        <v>76.099999999999994</v>
      </c>
      <c r="K225" s="20">
        <v>2.9</v>
      </c>
      <c r="L225" s="20">
        <v>2.9</v>
      </c>
      <c r="M225" s="20">
        <v>3.3</v>
      </c>
      <c r="N225" s="20">
        <v>2.7</v>
      </c>
      <c r="O225" s="20">
        <v>3.2</v>
      </c>
      <c r="P225" s="20">
        <v>2.2999999999999998</v>
      </c>
      <c r="Q225" s="20">
        <v>2.4</v>
      </c>
      <c r="R225" s="20">
        <v>2.7</v>
      </c>
      <c r="S225" s="20">
        <v>3</v>
      </c>
      <c r="T225" s="20">
        <v>0.9</v>
      </c>
      <c r="U225" s="20">
        <v>1.1000000000000001</v>
      </c>
      <c r="V225" s="20">
        <v>1</v>
      </c>
      <c r="W225" s="20">
        <v>0.8</v>
      </c>
      <c r="X225" s="20">
        <v>0.8</v>
      </c>
      <c r="Y225" s="20">
        <v>0.9</v>
      </c>
      <c r="Z225" s="20">
        <v>0.3</v>
      </c>
      <c r="AA225" s="20">
        <v>0.5</v>
      </c>
      <c r="AB225" s="20">
        <v>0.9</v>
      </c>
    </row>
    <row r="226" spans="1:28" x14ac:dyDescent="0.2">
      <c r="A226" s="22">
        <v>37408</v>
      </c>
      <c r="B226" s="20">
        <v>77.5</v>
      </c>
      <c r="C226" s="20">
        <v>77.3</v>
      </c>
      <c r="D226" s="20">
        <v>74.7</v>
      </c>
      <c r="E226" s="20">
        <v>75.7</v>
      </c>
      <c r="F226" s="20">
        <v>75</v>
      </c>
      <c r="G226" s="20">
        <v>76.900000000000006</v>
      </c>
      <c r="H226" s="20">
        <v>76.3</v>
      </c>
      <c r="I226" s="20">
        <v>76.2</v>
      </c>
      <c r="J226" s="187">
        <v>76.599999999999994</v>
      </c>
      <c r="K226" s="20">
        <v>2.8</v>
      </c>
      <c r="L226" s="20">
        <v>2.9</v>
      </c>
      <c r="M226" s="20">
        <v>3</v>
      </c>
      <c r="N226" s="20">
        <v>2.9</v>
      </c>
      <c r="O226" s="20">
        <v>2.5</v>
      </c>
      <c r="P226" s="20">
        <v>2.7</v>
      </c>
      <c r="Q226" s="20">
        <v>2.1</v>
      </c>
      <c r="R226" s="20">
        <v>3</v>
      </c>
      <c r="S226" s="20">
        <v>2.8</v>
      </c>
      <c r="T226" s="20">
        <v>0.6</v>
      </c>
      <c r="U226" s="20">
        <v>0.5</v>
      </c>
      <c r="V226" s="20">
        <v>0.7</v>
      </c>
      <c r="W226" s="20">
        <v>0.9</v>
      </c>
      <c r="X226" s="20">
        <v>0.7</v>
      </c>
      <c r="Y226" s="20">
        <v>1.3</v>
      </c>
      <c r="Z226" s="20">
        <v>0.8</v>
      </c>
      <c r="AA226" s="20">
        <v>1.2</v>
      </c>
      <c r="AB226" s="20">
        <v>0.7</v>
      </c>
    </row>
    <row r="227" spans="1:28" x14ac:dyDescent="0.2">
      <c r="A227" s="22">
        <v>37500</v>
      </c>
      <c r="B227" s="20">
        <v>77.900000000000006</v>
      </c>
      <c r="C227" s="20">
        <v>77.900000000000006</v>
      </c>
      <c r="D227" s="20">
        <v>75.3</v>
      </c>
      <c r="E227" s="20">
        <v>76.400000000000006</v>
      </c>
      <c r="F227" s="20">
        <v>75.7</v>
      </c>
      <c r="G227" s="20">
        <v>77.2</v>
      </c>
      <c r="H227" s="20">
        <v>76.599999999999994</v>
      </c>
      <c r="I227" s="20">
        <v>76.599999999999994</v>
      </c>
      <c r="J227" s="187">
        <v>77.099999999999994</v>
      </c>
      <c r="K227" s="20">
        <v>3</v>
      </c>
      <c r="L227" s="20">
        <v>3.2</v>
      </c>
      <c r="M227" s="20">
        <v>3.7</v>
      </c>
      <c r="N227" s="20">
        <v>3.7</v>
      </c>
      <c r="O227" s="20">
        <v>3.3</v>
      </c>
      <c r="P227" s="20">
        <v>3.5</v>
      </c>
      <c r="Q227" s="20">
        <v>2.2999999999999998</v>
      </c>
      <c r="R227" s="20">
        <v>3.5</v>
      </c>
      <c r="S227" s="20">
        <v>3.2</v>
      </c>
      <c r="T227" s="20">
        <v>0.5</v>
      </c>
      <c r="U227" s="20">
        <v>0.8</v>
      </c>
      <c r="V227" s="20">
        <v>0.8</v>
      </c>
      <c r="W227" s="20">
        <v>0.9</v>
      </c>
      <c r="X227" s="20">
        <v>0.9</v>
      </c>
      <c r="Y227" s="20">
        <v>0.4</v>
      </c>
      <c r="Z227" s="20">
        <v>0.4</v>
      </c>
      <c r="AA227" s="20">
        <v>0.5</v>
      </c>
      <c r="AB227" s="20">
        <v>0.7</v>
      </c>
    </row>
    <row r="228" spans="1:28" x14ac:dyDescent="0.2">
      <c r="A228" s="22">
        <v>37591</v>
      </c>
      <c r="B228" s="20">
        <v>78.400000000000006</v>
      </c>
      <c r="C228" s="20">
        <v>78.5</v>
      </c>
      <c r="D228" s="20">
        <v>75.7</v>
      </c>
      <c r="E228" s="20">
        <v>77.099999999999994</v>
      </c>
      <c r="F228" s="20">
        <v>76</v>
      </c>
      <c r="G228" s="20">
        <v>77.5</v>
      </c>
      <c r="H228" s="20">
        <v>77</v>
      </c>
      <c r="I228" s="20">
        <v>77.3</v>
      </c>
      <c r="J228" s="187">
        <v>77.599999999999994</v>
      </c>
      <c r="K228" s="20">
        <v>2.8</v>
      </c>
      <c r="L228" s="20">
        <v>3.2</v>
      </c>
      <c r="M228" s="20">
        <v>3</v>
      </c>
      <c r="N228" s="20">
        <v>3.6</v>
      </c>
      <c r="O228" s="20">
        <v>2.8</v>
      </c>
      <c r="P228" s="20">
        <v>3.1</v>
      </c>
      <c r="Q228" s="20">
        <v>2</v>
      </c>
      <c r="R228" s="20">
        <v>3.2</v>
      </c>
      <c r="S228" s="20">
        <v>2.9</v>
      </c>
      <c r="T228" s="20">
        <v>0.6</v>
      </c>
      <c r="U228" s="20">
        <v>0.8</v>
      </c>
      <c r="V228" s="20">
        <v>0.5</v>
      </c>
      <c r="W228" s="20">
        <v>0.9</v>
      </c>
      <c r="X228" s="20">
        <v>0.4</v>
      </c>
      <c r="Y228" s="20">
        <v>0.4</v>
      </c>
      <c r="Z228" s="20">
        <v>0.5</v>
      </c>
      <c r="AA228" s="20">
        <v>0.9</v>
      </c>
      <c r="AB228" s="20">
        <v>0.6</v>
      </c>
    </row>
    <row r="229" spans="1:28" x14ac:dyDescent="0.2">
      <c r="A229" s="22">
        <v>37681</v>
      </c>
      <c r="B229" s="20">
        <v>79.400000000000006</v>
      </c>
      <c r="C229" s="20">
        <v>79.599999999999994</v>
      </c>
      <c r="D229" s="20">
        <v>76.7</v>
      </c>
      <c r="E229" s="20">
        <v>78.7</v>
      </c>
      <c r="F229" s="20">
        <v>76.599999999999994</v>
      </c>
      <c r="G229" s="20">
        <v>78.599999999999994</v>
      </c>
      <c r="H229" s="20">
        <v>77.7</v>
      </c>
      <c r="I229" s="20">
        <v>78.099999999999994</v>
      </c>
      <c r="J229" s="187">
        <v>78.599999999999994</v>
      </c>
      <c r="K229" s="20">
        <v>3.1</v>
      </c>
      <c r="L229" s="20">
        <v>3.5</v>
      </c>
      <c r="M229" s="20">
        <v>3.4</v>
      </c>
      <c r="N229" s="20">
        <v>4.9000000000000004</v>
      </c>
      <c r="O229" s="20">
        <v>2.8</v>
      </c>
      <c r="P229" s="20">
        <v>3.6</v>
      </c>
      <c r="Q229" s="20">
        <v>2.6</v>
      </c>
      <c r="R229" s="20">
        <v>3.7</v>
      </c>
      <c r="S229" s="20">
        <v>3.3</v>
      </c>
      <c r="T229" s="20">
        <v>1.3</v>
      </c>
      <c r="U229" s="20">
        <v>1.4</v>
      </c>
      <c r="V229" s="20">
        <v>1.3</v>
      </c>
      <c r="W229" s="20">
        <v>2.1</v>
      </c>
      <c r="X229" s="20">
        <v>0.8</v>
      </c>
      <c r="Y229" s="20">
        <v>1.4</v>
      </c>
      <c r="Z229" s="20">
        <v>0.9</v>
      </c>
      <c r="AA229" s="20">
        <v>1</v>
      </c>
      <c r="AB229" s="20">
        <v>1.3</v>
      </c>
    </row>
    <row r="230" spans="1:28" x14ac:dyDescent="0.2">
      <c r="A230" s="22">
        <v>37773</v>
      </c>
      <c r="B230" s="20">
        <v>79.400000000000006</v>
      </c>
      <c r="C230" s="20">
        <v>79.599999999999994</v>
      </c>
      <c r="D230" s="20">
        <v>76.7</v>
      </c>
      <c r="E230" s="20">
        <v>78.599999999999994</v>
      </c>
      <c r="F230" s="20">
        <v>76.5</v>
      </c>
      <c r="G230" s="20">
        <v>79.099999999999994</v>
      </c>
      <c r="H230" s="20">
        <v>78</v>
      </c>
      <c r="I230" s="20">
        <v>78.099999999999994</v>
      </c>
      <c r="J230" s="187">
        <v>78.599999999999994</v>
      </c>
      <c r="K230" s="20">
        <v>2.5</v>
      </c>
      <c r="L230" s="20">
        <v>3</v>
      </c>
      <c r="M230" s="20">
        <v>2.7</v>
      </c>
      <c r="N230" s="20">
        <v>3.8</v>
      </c>
      <c r="O230" s="20">
        <v>2</v>
      </c>
      <c r="P230" s="20">
        <v>2.9</v>
      </c>
      <c r="Q230" s="20">
        <v>2.2000000000000002</v>
      </c>
      <c r="R230" s="20">
        <v>2.5</v>
      </c>
      <c r="S230" s="20">
        <v>2.6</v>
      </c>
      <c r="T230" s="20">
        <v>0</v>
      </c>
      <c r="U230" s="20">
        <v>0</v>
      </c>
      <c r="V230" s="20">
        <v>0</v>
      </c>
      <c r="W230" s="20">
        <v>-0.1</v>
      </c>
      <c r="X230" s="20">
        <v>-0.1</v>
      </c>
      <c r="Y230" s="20">
        <v>0.6</v>
      </c>
      <c r="Z230" s="20">
        <v>0.4</v>
      </c>
      <c r="AA230" s="20">
        <v>0</v>
      </c>
      <c r="AB230" s="20">
        <v>0</v>
      </c>
    </row>
    <row r="231" spans="1:28" x14ac:dyDescent="0.2">
      <c r="A231" s="22">
        <v>37865</v>
      </c>
      <c r="B231" s="20">
        <v>79.5</v>
      </c>
      <c r="C231" s="20">
        <v>80.099999999999994</v>
      </c>
      <c r="D231" s="20">
        <v>77.5</v>
      </c>
      <c r="E231" s="20">
        <v>79.2</v>
      </c>
      <c r="F231" s="20">
        <v>77.2</v>
      </c>
      <c r="G231" s="20">
        <v>79.2</v>
      </c>
      <c r="H231" s="20">
        <v>77.900000000000006</v>
      </c>
      <c r="I231" s="20">
        <v>78.8</v>
      </c>
      <c r="J231" s="187">
        <v>79.099999999999994</v>
      </c>
      <c r="K231" s="20">
        <v>2.1</v>
      </c>
      <c r="L231" s="20">
        <v>2.8</v>
      </c>
      <c r="M231" s="20">
        <v>2.9</v>
      </c>
      <c r="N231" s="20">
        <v>3.7</v>
      </c>
      <c r="O231" s="20">
        <v>2</v>
      </c>
      <c r="P231" s="20">
        <v>2.6</v>
      </c>
      <c r="Q231" s="20">
        <v>1.7</v>
      </c>
      <c r="R231" s="20">
        <v>2.9</v>
      </c>
      <c r="S231" s="20">
        <v>2.6</v>
      </c>
      <c r="T231" s="20">
        <v>0.1</v>
      </c>
      <c r="U231" s="20">
        <v>0.6</v>
      </c>
      <c r="V231" s="20">
        <v>1</v>
      </c>
      <c r="W231" s="20">
        <v>0.8</v>
      </c>
      <c r="X231" s="20">
        <v>0.9</v>
      </c>
      <c r="Y231" s="20">
        <v>0.1</v>
      </c>
      <c r="Z231" s="20">
        <v>-0.1</v>
      </c>
      <c r="AA231" s="20">
        <v>0.9</v>
      </c>
      <c r="AB231" s="20">
        <v>0.6</v>
      </c>
    </row>
    <row r="232" spans="1:28" x14ac:dyDescent="0.2">
      <c r="A232" s="22">
        <v>37956</v>
      </c>
      <c r="B232" s="20">
        <v>80.2</v>
      </c>
      <c r="C232" s="20">
        <v>80.3</v>
      </c>
      <c r="D232" s="20">
        <v>78</v>
      </c>
      <c r="E232" s="20">
        <v>79.599999999999994</v>
      </c>
      <c r="F232" s="20">
        <v>77.5</v>
      </c>
      <c r="G232" s="20">
        <v>79.7</v>
      </c>
      <c r="H232" s="20">
        <v>78.3</v>
      </c>
      <c r="I232" s="20">
        <v>79.3</v>
      </c>
      <c r="J232" s="187">
        <v>79.5</v>
      </c>
      <c r="K232" s="20">
        <v>2.2999999999999998</v>
      </c>
      <c r="L232" s="20">
        <v>2.2999999999999998</v>
      </c>
      <c r="M232" s="20">
        <v>3</v>
      </c>
      <c r="N232" s="20">
        <v>3.2</v>
      </c>
      <c r="O232" s="20">
        <v>2</v>
      </c>
      <c r="P232" s="20">
        <v>2.8</v>
      </c>
      <c r="Q232" s="20">
        <v>1.7</v>
      </c>
      <c r="R232" s="20">
        <v>2.6</v>
      </c>
      <c r="S232" s="20">
        <v>2.4</v>
      </c>
      <c r="T232" s="20">
        <v>0.9</v>
      </c>
      <c r="U232" s="20">
        <v>0.2</v>
      </c>
      <c r="V232" s="20">
        <v>0.6</v>
      </c>
      <c r="W232" s="20">
        <v>0.5</v>
      </c>
      <c r="X232" s="20">
        <v>0.4</v>
      </c>
      <c r="Y232" s="20">
        <v>0.6</v>
      </c>
      <c r="Z232" s="20">
        <v>0.5</v>
      </c>
      <c r="AA232" s="20">
        <v>0.6</v>
      </c>
      <c r="AB232" s="20">
        <v>0.5</v>
      </c>
    </row>
    <row r="233" spans="1:28" x14ac:dyDescent="0.2">
      <c r="A233" s="22">
        <v>38047</v>
      </c>
      <c r="B233" s="20">
        <v>80.900000000000006</v>
      </c>
      <c r="C233" s="20">
        <v>81.099999999999994</v>
      </c>
      <c r="D233" s="20">
        <v>78.7</v>
      </c>
      <c r="E233" s="20">
        <v>80.400000000000006</v>
      </c>
      <c r="F233" s="20">
        <v>77.8</v>
      </c>
      <c r="G233" s="20">
        <v>80.3</v>
      </c>
      <c r="H233" s="20">
        <v>78.599999999999994</v>
      </c>
      <c r="I233" s="20">
        <v>79.900000000000006</v>
      </c>
      <c r="J233" s="187">
        <v>80.2</v>
      </c>
      <c r="K233" s="20">
        <v>1.9</v>
      </c>
      <c r="L233" s="20">
        <v>1.9</v>
      </c>
      <c r="M233" s="20">
        <v>2.6</v>
      </c>
      <c r="N233" s="20">
        <v>2.2000000000000002</v>
      </c>
      <c r="O233" s="20">
        <v>1.6</v>
      </c>
      <c r="P233" s="20">
        <v>2.2000000000000002</v>
      </c>
      <c r="Q233" s="20">
        <v>1.2</v>
      </c>
      <c r="R233" s="20">
        <v>2.2999999999999998</v>
      </c>
      <c r="S233" s="20">
        <v>2</v>
      </c>
      <c r="T233" s="20">
        <v>0.9</v>
      </c>
      <c r="U233" s="20">
        <v>1</v>
      </c>
      <c r="V233" s="20">
        <v>0.9</v>
      </c>
      <c r="W233" s="20">
        <v>1</v>
      </c>
      <c r="X233" s="20">
        <v>0.4</v>
      </c>
      <c r="Y233" s="20">
        <v>0.8</v>
      </c>
      <c r="Z233" s="20">
        <v>0.4</v>
      </c>
      <c r="AA233" s="20">
        <v>0.8</v>
      </c>
      <c r="AB233" s="20">
        <v>0.9</v>
      </c>
    </row>
    <row r="234" spans="1:28" x14ac:dyDescent="0.2">
      <c r="A234" s="22">
        <v>38139</v>
      </c>
      <c r="B234" s="20">
        <v>81.2</v>
      </c>
      <c r="C234" s="20">
        <v>81.3</v>
      </c>
      <c r="D234" s="20">
        <v>79.099999999999994</v>
      </c>
      <c r="E234" s="20">
        <v>80.900000000000006</v>
      </c>
      <c r="F234" s="20">
        <v>78.599999999999994</v>
      </c>
      <c r="G234" s="20">
        <v>81</v>
      </c>
      <c r="H234" s="20">
        <v>78.900000000000006</v>
      </c>
      <c r="I234" s="20">
        <v>80.400000000000006</v>
      </c>
      <c r="J234" s="187">
        <v>80.599999999999994</v>
      </c>
      <c r="K234" s="20">
        <v>2.2999999999999998</v>
      </c>
      <c r="L234" s="20">
        <v>2.1</v>
      </c>
      <c r="M234" s="20">
        <v>3.1</v>
      </c>
      <c r="N234" s="20">
        <v>2.9</v>
      </c>
      <c r="O234" s="20">
        <v>2.7</v>
      </c>
      <c r="P234" s="20">
        <v>2.4</v>
      </c>
      <c r="Q234" s="20">
        <v>1.2</v>
      </c>
      <c r="R234" s="20">
        <v>2.9</v>
      </c>
      <c r="S234" s="20">
        <v>2.5</v>
      </c>
      <c r="T234" s="20">
        <v>0.4</v>
      </c>
      <c r="U234" s="20">
        <v>0.2</v>
      </c>
      <c r="V234" s="20">
        <v>0.5</v>
      </c>
      <c r="W234" s="20">
        <v>0.6</v>
      </c>
      <c r="X234" s="20">
        <v>1</v>
      </c>
      <c r="Y234" s="20">
        <v>0.9</v>
      </c>
      <c r="Z234" s="20">
        <v>0.4</v>
      </c>
      <c r="AA234" s="20">
        <v>0.6</v>
      </c>
      <c r="AB234" s="20">
        <v>0.5</v>
      </c>
    </row>
    <row r="235" spans="1:28" x14ac:dyDescent="0.2">
      <c r="A235" s="22">
        <v>38231</v>
      </c>
      <c r="B235" s="20">
        <v>81.599999999999994</v>
      </c>
      <c r="C235" s="20">
        <v>81.5</v>
      </c>
      <c r="D235" s="20">
        <v>79.400000000000006</v>
      </c>
      <c r="E235" s="20">
        <v>81.2</v>
      </c>
      <c r="F235" s="20">
        <v>79.099999999999994</v>
      </c>
      <c r="G235" s="20">
        <v>81.400000000000006</v>
      </c>
      <c r="H235" s="20">
        <v>79.599999999999994</v>
      </c>
      <c r="I235" s="20">
        <v>80.8</v>
      </c>
      <c r="J235" s="187">
        <v>80.900000000000006</v>
      </c>
      <c r="K235" s="20">
        <v>2.6</v>
      </c>
      <c r="L235" s="20">
        <v>1.7</v>
      </c>
      <c r="M235" s="20">
        <v>2.5</v>
      </c>
      <c r="N235" s="20">
        <v>2.5</v>
      </c>
      <c r="O235" s="20">
        <v>2.5</v>
      </c>
      <c r="P235" s="20">
        <v>2.8</v>
      </c>
      <c r="Q235" s="20">
        <v>2.2000000000000002</v>
      </c>
      <c r="R235" s="20">
        <v>2.5</v>
      </c>
      <c r="S235" s="20">
        <v>2.2999999999999998</v>
      </c>
      <c r="T235" s="20">
        <v>0.5</v>
      </c>
      <c r="U235" s="20">
        <v>0.2</v>
      </c>
      <c r="V235" s="20">
        <v>0.4</v>
      </c>
      <c r="W235" s="20">
        <v>0.4</v>
      </c>
      <c r="X235" s="20">
        <v>0.6</v>
      </c>
      <c r="Y235" s="20">
        <v>0.5</v>
      </c>
      <c r="Z235" s="20">
        <v>0.9</v>
      </c>
      <c r="AA235" s="20">
        <v>0.5</v>
      </c>
      <c r="AB235" s="20">
        <v>0.4</v>
      </c>
    </row>
    <row r="236" spans="1:28" x14ac:dyDescent="0.2">
      <c r="A236" s="22">
        <v>38322</v>
      </c>
      <c r="B236" s="20">
        <v>82.3</v>
      </c>
      <c r="C236" s="20">
        <v>82.1</v>
      </c>
      <c r="D236" s="20">
        <v>80</v>
      </c>
      <c r="E236" s="20">
        <v>81.7</v>
      </c>
      <c r="F236" s="20">
        <v>79.8</v>
      </c>
      <c r="G236" s="20">
        <v>82.4</v>
      </c>
      <c r="H236" s="20">
        <v>79.8</v>
      </c>
      <c r="I236" s="20">
        <v>81.2</v>
      </c>
      <c r="J236" s="187">
        <v>81.5</v>
      </c>
      <c r="K236" s="20">
        <v>2.6</v>
      </c>
      <c r="L236" s="20">
        <v>2.2000000000000002</v>
      </c>
      <c r="M236" s="20">
        <v>2.6</v>
      </c>
      <c r="N236" s="20">
        <v>2.6</v>
      </c>
      <c r="O236" s="20">
        <v>3</v>
      </c>
      <c r="P236" s="20">
        <v>3.4</v>
      </c>
      <c r="Q236" s="20">
        <v>1.9</v>
      </c>
      <c r="R236" s="20">
        <v>2.4</v>
      </c>
      <c r="S236" s="20">
        <v>2.5</v>
      </c>
      <c r="T236" s="20">
        <v>0.9</v>
      </c>
      <c r="U236" s="20">
        <v>0.7</v>
      </c>
      <c r="V236" s="20">
        <v>0.8</v>
      </c>
      <c r="W236" s="20">
        <v>0.6</v>
      </c>
      <c r="X236" s="20">
        <v>0.9</v>
      </c>
      <c r="Y236" s="20">
        <v>1.2</v>
      </c>
      <c r="Z236" s="20">
        <v>0.3</v>
      </c>
      <c r="AA236" s="20">
        <v>0.5</v>
      </c>
      <c r="AB236" s="20">
        <v>0.7</v>
      </c>
    </row>
    <row r="237" spans="1:28" x14ac:dyDescent="0.2">
      <c r="A237" s="22">
        <v>38412</v>
      </c>
      <c r="B237" s="20">
        <v>82.7</v>
      </c>
      <c r="C237" s="20">
        <v>82.7</v>
      </c>
      <c r="D237" s="20">
        <v>80.7</v>
      </c>
      <c r="E237" s="20">
        <v>82.2</v>
      </c>
      <c r="F237" s="20">
        <v>80.400000000000006</v>
      </c>
      <c r="G237" s="20">
        <v>83.1</v>
      </c>
      <c r="H237" s="20">
        <v>80.2</v>
      </c>
      <c r="I237" s="20">
        <v>81.599999999999994</v>
      </c>
      <c r="J237" s="187">
        <v>82.1</v>
      </c>
      <c r="K237" s="20">
        <v>2.2000000000000002</v>
      </c>
      <c r="L237" s="20">
        <v>2</v>
      </c>
      <c r="M237" s="20">
        <v>2.5</v>
      </c>
      <c r="N237" s="20">
        <v>2.2000000000000002</v>
      </c>
      <c r="O237" s="20">
        <v>3.3</v>
      </c>
      <c r="P237" s="20">
        <v>3.5</v>
      </c>
      <c r="Q237" s="20">
        <v>2</v>
      </c>
      <c r="R237" s="20">
        <v>2.1</v>
      </c>
      <c r="S237" s="20">
        <v>2.4</v>
      </c>
      <c r="T237" s="20">
        <v>0.5</v>
      </c>
      <c r="U237" s="20">
        <v>0.7</v>
      </c>
      <c r="V237" s="20">
        <v>0.9</v>
      </c>
      <c r="W237" s="20">
        <v>0.6</v>
      </c>
      <c r="X237" s="20">
        <v>0.8</v>
      </c>
      <c r="Y237" s="20">
        <v>0.8</v>
      </c>
      <c r="Z237" s="20">
        <v>0.5</v>
      </c>
      <c r="AA237" s="20">
        <v>0.5</v>
      </c>
      <c r="AB237" s="20">
        <v>0.7</v>
      </c>
    </row>
    <row r="238" spans="1:28" x14ac:dyDescent="0.2">
      <c r="A238" s="22">
        <v>38504</v>
      </c>
      <c r="B238" s="20">
        <v>83.2</v>
      </c>
      <c r="C238" s="20">
        <v>83</v>
      </c>
      <c r="D238" s="20">
        <v>81.099999999999994</v>
      </c>
      <c r="E238" s="20">
        <v>82.7</v>
      </c>
      <c r="F238" s="20">
        <v>81.5</v>
      </c>
      <c r="G238" s="20">
        <v>83.5</v>
      </c>
      <c r="H238" s="20">
        <v>80.900000000000006</v>
      </c>
      <c r="I238" s="20">
        <v>82.1</v>
      </c>
      <c r="J238" s="187">
        <v>82.6</v>
      </c>
      <c r="K238" s="20">
        <v>2.5</v>
      </c>
      <c r="L238" s="20">
        <v>2.1</v>
      </c>
      <c r="M238" s="20">
        <v>2.5</v>
      </c>
      <c r="N238" s="20">
        <v>2.2000000000000002</v>
      </c>
      <c r="O238" s="20">
        <v>3.7</v>
      </c>
      <c r="P238" s="20">
        <v>3.1</v>
      </c>
      <c r="Q238" s="20">
        <v>2.5</v>
      </c>
      <c r="R238" s="20">
        <v>2.1</v>
      </c>
      <c r="S238" s="20">
        <v>2.5</v>
      </c>
      <c r="T238" s="20">
        <v>0.6</v>
      </c>
      <c r="U238" s="20">
        <v>0.4</v>
      </c>
      <c r="V238" s="20">
        <v>0.5</v>
      </c>
      <c r="W238" s="20">
        <v>0.6</v>
      </c>
      <c r="X238" s="20">
        <v>1.4</v>
      </c>
      <c r="Y238" s="20">
        <v>0.5</v>
      </c>
      <c r="Z238" s="20">
        <v>0.9</v>
      </c>
      <c r="AA238" s="20">
        <v>0.6</v>
      </c>
      <c r="AB238" s="20">
        <v>0.6</v>
      </c>
    </row>
    <row r="239" spans="1:28" x14ac:dyDescent="0.2">
      <c r="A239" s="22">
        <v>38596</v>
      </c>
      <c r="B239" s="20">
        <v>84</v>
      </c>
      <c r="C239" s="20">
        <v>83.9</v>
      </c>
      <c r="D239" s="20">
        <v>81.599999999999994</v>
      </c>
      <c r="E239" s="20">
        <v>83.6</v>
      </c>
      <c r="F239" s="20">
        <v>82.4</v>
      </c>
      <c r="G239" s="20">
        <v>84.3</v>
      </c>
      <c r="H239" s="20">
        <v>81.8</v>
      </c>
      <c r="I239" s="20">
        <v>83.1</v>
      </c>
      <c r="J239" s="187">
        <v>83.4</v>
      </c>
      <c r="K239" s="20">
        <v>2.9</v>
      </c>
      <c r="L239" s="20">
        <v>2.9</v>
      </c>
      <c r="M239" s="20">
        <v>2.8</v>
      </c>
      <c r="N239" s="20">
        <v>3</v>
      </c>
      <c r="O239" s="20">
        <v>4.2</v>
      </c>
      <c r="P239" s="20">
        <v>3.6</v>
      </c>
      <c r="Q239" s="20">
        <v>2.8</v>
      </c>
      <c r="R239" s="20">
        <v>2.8</v>
      </c>
      <c r="S239" s="20">
        <v>3.1</v>
      </c>
      <c r="T239" s="20">
        <v>1</v>
      </c>
      <c r="U239" s="20">
        <v>1.1000000000000001</v>
      </c>
      <c r="V239" s="20">
        <v>0.6</v>
      </c>
      <c r="W239" s="20">
        <v>1.1000000000000001</v>
      </c>
      <c r="X239" s="20">
        <v>1.1000000000000001</v>
      </c>
      <c r="Y239" s="20">
        <v>1</v>
      </c>
      <c r="Z239" s="20">
        <v>1.1000000000000001</v>
      </c>
      <c r="AA239" s="20">
        <v>1.2</v>
      </c>
      <c r="AB239" s="20">
        <v>1</v>
      </c>
    </row>
    <row r="240" spans="1:28" x14ac:dyDescent="0.2">
      <c r="A240" s="22">
        <v>38687</v>
      </c>
      <c r="B240" s="20">
        <v>84.3</v>
      </c>
      <c r="C240" s="20">
        <v>84.3</v>
      </c>
      <c r="D240" s="20">
        <v>82.3</v>
      </c>
      <c r="E240" s="20">
        <v>83.9</v>
      </c>
      <c r="F240" s="20">
        <v>83</v>
      </c>
      <c r="G240" s="20">
        <v>84.8</v>
      </c>
      <c r="H240" s="20">
        <v>82.2</v>
      </c>
      <c r="I240" s="20">
        <v>83.7</v>
      </c>
      <c r="J240" s="187">
        <v>83.8</v>
      </c>
      <c r="K240" s="20">
        <v>2.4</v>
      </c>
      <c r="L240" s="20">
        <v>2.7</v>
      </c>
      <c r="M240" s="20">
        <v>2.9</v>
      </c>
      <c r="N240" s="20">
        <v>2.7</v>
      </c>
      <c r="O240" s="20">
        <v>4</v>
      </c>
      <c r="P240" s="20">
        <v>2.9</v>
      </c>
      <c r="Q240" s="20">
        <v>3</v>
      </c>
      <c r="R240" s="20">
        <v>3.1</v>
      </c>
      <c r="S240" s="20">
        <v>2.8</v>
      </c>
      <c r="T240" s="20">
        <v>0.4</v>
      </c>
      <c r="U240" s="20">
        <v>0.5</v>
      </c>
      <c r="V240" s="20">
        <v>0.9</v>
      </c>
      <c r="W240" s="20">
        <v>0.4</v>
      </c>
      <c r="X240" s="20">
        <v>0.7</v>
      </c>
      <c r="Y240" s="20">
        <v>0.6</v>
      </c>
      <c r="Z240" s="20">
        <v>0.5</v>
      </c>
      <c r="AA240" s="20">
        <v>0.7</v>
      </c>
      <c r="AB240" s="20">
        <v>0.5</v>
      </c>
    </row>
    <row r="241" spans="1:28" x14ac:dyDescent="0.2">
      <c r="A241" s="22">
        <v>38777</v>
      </c>
      <c r="B241" s="20">
        <v>85</v>
      </c>
      <c r="C241" s="20">
        <v>85</v>
      </c>
      <c r="D241" s="20">
        <v>83</v>
      </c>
      <c r="E241" s="20">
        <v>84.7</v>
      </c>
      <c r="F241" s="20">
        <v>83.8</v>
      </c>
      <c r="G241" s="20">
        <v>85.4</v>
      </c>
      <c r="H241" s="20">
        <v>82.9</v>
      </c>
      <c r="I241" s="20">
        <v>84.5</v>
      </c>
      <c r="J241" s="187">
        <v>84.5</v>
      </c>
      <c r="K241" s="20">
        <v>2.8</v>
      </c>
      <c r="L241" s="20">
        <v>2.8</v>
      </c>
      <c r="M241" s="20">
        <v>2.9</v>
      </c>
      <c r="N241" s="20">
        <v>3</v>
      </c>
      <c r="O241" s="20">
        <v>4.2</v>
      </c>
      <c r="P241" s="20">
        <v>2.8</v>
      </c>
      <c r="Q241" s="20">
        <v>3.4</v>
      </c>
      <c r="R241" s="20">
        <v>3.6</v>
      </c>
      <c r="S241" s="20">
        <v>2.9</v>
      </c>
      <c r="T241" s="20">
        <v>0.8</v>
      </c>
      <c r="U241" s="20">
        <v>0.8</v>
      </c>
      <c r="V241" s="20">
        <v>0.9</v>
      </c>
      <c r="W241" s="20">
        <v>1</v>
      </c>
      <c r="X241" s="20">
        <v>1</v>
      </c>
      <c r="Y241" s="20">
        <v>0.7</v>
      </c>
      <c r="Z241" s="20">
        <v>0.9</v>
      </c>
      <c r="AA241" s="20">
        <v>1</v>
      </c>
      <c r="AB241" s="20">
        <v>0.8</v>
      </c>
    </row>
    <row r="242" spans="1:28" x14ac:dyDescent="0.2">
      <c r="A242" s="22">
        <v>38869</v>
      </c>
      <c r="B242" s="20">
        <v>86.4</v>
      </c>
      <c r="C242" s="20">
        <v>86.2</v>
      </c>
      <c r="D242" s="20">
        <v>84.5</v>
      </c>
      <c r="E242" s="20">
        <v>85.8</v>
      </c>
      <c r="F242" s="20">
        <v>85.4</v>
      </c>
      <c r="G242" s="20">
        <v>86.4</v>
      </c>
      <c r="H242" s="20">
        <v>84.4</v>
      </c>
      <c r="I242" s="20">
        <v>86</v>
      </c>
      <c r="J242" s="187">
        <v>85.9</v>
      </c>
      <c r="K242" s="20">
        <v>3.8</v>
      </c>
      <c r="L242" s="20">
        <v>3.9</v>
      </c>
      <c r="M242" s="20">
        <v>4.2</v>
      </c>
      <c r="N242" s="20">
        <v>3.7</v>
      </c>
      <c r="O242" s="20">
        <v>4.8</v>
      </c>
      <c r="P242" s="20">
        <v>3.5</v>
      </c>
      <c r="Q242" s="20">
        <v>4.3</v>
      </c>
      <c r="R242" s="20">
        <v>4.8</v>
      </c>
      <c r="S242" s="20">
        <v>4</v>
      </c>
      <c r="T242" s="20">
        <v>1.6</v>
      </c>
      <c r="U242" s="20">
        <v>1.4</v>
      </c>
      <c r="V242" s="20">
        <v>1.8</v>
      </c>
      <c r="W242" s="20">
        <v>1.3</v>
      </c>
      <c r="X242" s="20">
        <v>1.9</v>
      </c>
      <c r="Y242" s="20">
        <v>1.2</v>
      </c>
      <c r="Z242" s="20">
        <v>1.8</v>
      </c>
      <c r="AA242" s="20">
        <v>1.8</v>
      </c>
      <c r="AB242" s="20">
        <v>1.7</v>
      </c>
    </row>
    <row r="243" spans="1:28" x14ac:dyDescent="0.2">
      <c r="A243" s="22">
        <v>38961</v>
      </c>
      <c r="B243" s="20">
        <v>87.2</v>
      </c>
      <c r="C243" s="20">
        <v>86.8</v>
      </c>
      <c r="D243" s="20">
        <v>85.2</v>
      </c>
      <c r="E243" s="20">
        <v>86.8</v>
      </c>
      <c r="F243" s="20">
        <v>86.3</v>
      </c>
      <c r="G243" s="20">
        <v>87.1</v>
      </c>
      <c r="H243" s="20">
        <v>85.8</v>
      </c>
      <c r="I243" s="20">
        <v>86.6</v>
      </c>
      <c r="J243" s="187">
        <v>86.7</v>
      </c>
      <c r="K243" s="20">
        <v>3.8</v>
      </c>
      <c r="L243" s="20">
        <v>3.5</v>
      </c>
      <c r="M243" s="20">
        <v>4.4000000000000004</v>
      </c>
      <c r="N243" s="20">
        <v>3.8</v>
      </c>
      <c r="O243" s="20">
        <v>4.7</v>
      </c>
      <c r="P243" s="20">
        <v>3.3</v>
      </c>
      <c r="Q243" s="20">
        <v>4.9000000000000004</v>
      </c>
      <c r="R243" s="20">
        <v>4.2</v>
      </c>
      <c r="S243" s="20">
        <v>4</v>
      </c>
      <c r="T243" s="20">
        <v>0.9</v>
      </c>
      <c r="U243" s="20">
        <v>0.7</v>
      </c>
      <c r="V243" s="20">
        <v>0.8</v>
      </c>
      <c r="W243" s="20">
        <v>1.2</v>
      </c>
      <c r="X243" s="20">
        <v>1.1000000000000001</v>
      </c>
      <c r="Y243" s="20">
        <v>0.8</v>
      </c>
      <c r="Z243" s="20">
        <v>1.7</v>
      </c>
      <c r="AA243" s="20">
        <v>0.7</v>
      </c>
      <c r="AB243" s="20">
        <v>0.9</v>
      </c>
    </row>
    <row r="244" spans="1:28" x14ac:dyDescent="0.2">
      <c r="A244" s="22">
        <v>39052</v>
      </c>
      <c r="B244" s="20">
        <v>87</v>
      </c>
      <c r="C244" s="20">
        <v>86.7</v>
      </c>
      <c r="D244" s="20">
        <v>85.1</v>
      </c>
      <c r="E244" s="20">
        <v>86.5</v>
      </c>
      <c r="F244" s="20">
        <v>86.6</v>
      </c>
      <c r="G244" s="20">
        <v>86.8</v>
      </c>
      <c r="H244" s="20">
        <v>86.3</v>
      </c>
      <c r="I244" s="20">
        <v>86.4</v>
      </c>
      <c r="J244" s="187">
        <v>86.6</v>
      </c>
      <c r="K244" s="20">
        <v>3.2</v>
      </c>
      <c r="L244" s="20">
        <v>2.8</v>
      </c>
      <c r="M244" s="20">
        <v>3.4</v>
      </c>
      <c r="N244" s="20">
        <v>3.1</v>
      </c>
      <c r="O244" s="20">
        <v>4.3</v>
      </c>
      <c r="P244" s="20">
        <v>2.4</v>
      </c>
      <c r="Q244" s="20">
        <v>5</v>
      </c>
      <c r="R244" s="20">
        <v>3.2</v>
      </c>
      <c r="S244" s="20">
        <v>3.3</v>
      </c>
      <c r="T244" s="20">
        <v>-0.2</v>
      </c>
      <c r="U244" s="20">
        <v>-0.1</v>
      </c>
      <c r="V244" s="20">
        <v>-0.1</v>
      </c>
      <c r="W244" s="20">
        <v>-0.3</v>
      </c>
      <c r="X244" s="20">
        <v>0.3</v>
      </c>
      <c r="Y244" s="20">
        <v>-0.3</v>
      </c>
      <c r="Z244" s="20">
        <v>0.6</v>
      </c>
      <c r="AA244" s="20">
        <v>-0.2</v>
      </c>
      <c r="AB244" s="20">
        <v>-0.1</v>
      </c>
    </row>
    <row r="245" spans="1:28" x14ac:dyDescent="0.2">
      <c r="A245" s="22">
        <v>39142</v>
      </c>
      <c r="B245" s="20">
        <v>86.9</v>
      </c>
      <c r="C245" s="20">
        <v>86.9</v>
      </c>
      <c r="D245" s="20">
        <v>85.5</v>
      </c>
      <c r="E245" s="20">
        <v>86.3</v>
      </c>
      <c r="F245" s="20">
        <v>86.8</v>
      </c>
      <c r="G245" s="20">
        <v>87.3</v>
      </c>
      <c r="H245" s="20">
        <v>86.3</v>
      </c>
      <c r="I245" s="20">
        <v>86.5</v>
      </c>
      <c r="J245" s="187">
        <v>86.6</v>
      </c>
      <c r="K245" s="20">
        <v>2.2000000000000002</v>
      </c>
      <c r="L245" s="20">
        <v>2.2000000000000002</v>
      </c>
      <c r="M245" s="20">
        <v>3</v>
      </c>
      <c r="N245" s="20">
        <v>1.9</v>
      </c>
      <c r="O245" s="20">
        <v>3.6</v>
      </c>
      <c r="P245" s="20">
        <v>2.2000000000000002</v>
      </c>
      <c r="Q245" s="20">
        <v>4.0999999999999996</v>
      </c>
      <c r="R245" s="20">
        <v>2.4</v>
      </c>
      <c r="S245" s="20">
        <v>2.5</v>
      </c>
      <c r="T245" s="20">
        <v>-0.1</v>
      </c>
      <c r="U245" s="20">
        <v>0.2</v>
      </c>
      <c r="V245" s="20">
        <v>0.5</v>
      </c>
      <c r="W245" s="20">
        <v>-0.2</v>
      </c>
      <c r="X245" s="20">
        <v>0.2</v>
      </c>
      <c r="Y245" s="20">
        <v>0.6</v>
      </c>
      <c r="Z245" s="20">
        <v>0</v>
      </c>
      <c r="AA245" s="20">
        <v>0.1</v>
      </c>
      <c r="AB245" s="20">
        <v>0</v>
      </c>
    </row>
    <row r="246" spans="1:28" x14ac:dyDescent="0.2">
      <c r="A246" s="22">
        <v>39234</v>
      </c>
      <c r="B246" s="20">
        <v>87.9</v>
      </c>
      <c r="C246" s="20">
        <v>87.9</v>
      </c>
      <c r="D246" s="20">
        <v>86.7</v>
      </c>
      <c r="E246" s="20">
        <v>87.3</v>
      </c>
      <c r="F246" s="20">
        <v>88</v>
      </c>
      <c r="G246" s="20">
        <v>88.4</v>
      </c>
      <c r="H246" s="20">
        <v>87.5</v>
      </c>
      <c r="I246" s="20">
        <v>87.7</v>
      </c>
      <c r="J246" s="187">
        <v>87.7</v>
      </c>
      <c r="K246" s="20">
        <v>1.7</v>
      </c>
      <c r="L246" s="20">
        <v>2</v>
      </c>
      <c r="M246" s="20">
        <v>2.6</v>
      </c>
      <c r="N246" s="20">
        <v>1.7</v>
      </c>
      <c r="O246" s="20">
        <v>3</v>
      </c>
      <c r="P246" s="20">
        <v>2.2999999999999998</v>
      </c>
      <c r="Q246" s="20">
        <v>3.7</v>
      </c>
      <c r="R246" s="20">
        <v>2</v>
      </c>
      <c r="S246" s="20">
        <v>2.1</v>
      </c>
      <c r="T246" s="20">
        <v>1.2</v>
      </c>
      <c r="U246" s="20">
        <v>1.2</v>
      </c>
      <c r="V246" s="20">
        <v>1.4</v>
      </c>
      <c r="W246" s="20">
        <v>1.2</v>
      </c>
      <c r="X246" s="20">
        <v>1.4</v>
      </c>
      <c r="Y246" s="20">
        <v>1.3</v>
      </c>
      <c r="Z246" s="20">
        <v>1.4</v>
      </c>
      <c r="AA246" s="20">
        <v>1.4</v>
      </c>
      <c r="AB246" s="20">
        <v>1.3</v>
      </c>
    </row>
    <row r="247" spans="1:28" x14ac:dyDescent="0.2">
      <c r="A247" s="22">
        <v>39326</v>
      </c>
      <c r="B247" s="20">
        <v>88.3</v>
      </c>
      <c r="C247" s="20">
        <v>88.6</v>
      </c>
      <c r="D247" s="20">
        <v>87.5</v>
      </c>
      <c r="E247" s="20">
        <v>88</v>
      </c>
      <c r="F247" s="20">
        <v>88.6</v>
      </c>
      <c r="G247" s="20">
        <v>88.6</v>
      </c>
      <c r="H247" s="20">
        <v>88.5</v>
      </c>
      <c r="I247" s="20">
        <v>88.4</v>
      </c>
      <c r="J247" s="187">
        <v>88.3</v>
      </c>
      <c r="K247" s="20">
        <v>1.3</v>
      </c>
      <c r="L247" s="20">
        <v>2.1</v>
      </c>
      <c r="M247" s="20">
        <v>2.7</v>
      </c>
      <c r="N247" s="20">
        <v>1.4</v>
      </c>
      <c r="O247" s="20">
        <v>2.7</v>
      </c>
      <c r="P247" s="20">
        <v>1.7</v>
      </c>
      <c r="Q247" s="20">
        <v>3.1</v>
      </c>
      <c r="R247" s="20">
        <v>2.1</v>
      </c>
      <c r="S247" s="20">
        <v>1.8</v>
      </c>
      <c r="T247" s="20">
        <v>0.5</v>
      </c>
      <c r="U247" s="20">
        <v>0.8</v>
      </c>
      <c r="V247" s="20">
        <v>0.9</v>
      </c>
      <c r="W247" s="20">
        <v>0.8</v>
      </c>
      <c r="X247" s="20">
        <v>0.7</v>
      </c>
      <c r="Y247" s="20">
        <v>0.2</v>
      </c>
      <c r="Z247" s="20">
        <v>1.1000000000000001</v>
      </c>
      <c r="AA247" s="20">
        <v>0.8</v>
      </c>
      <c r="AB247" s="20">
        <v>0.7</v>
      </c>
    </row>
    <row r="248" spans="1:28" x14ac:dyDescent="0.2">
      <c r="A248" s="22">
        <v>39417</v>
      </c>
      <c r="B248" s="20">
        <v>89.1</v>
      </c>
      <c r="C248" s="20">
        <v>89.5</v>
      </c>
      <c r="D248" s="20">
        <v>88.4</v>
      </c>
      <c r="E248" s="20">
        <v>88.9</v>
      </c>
      <c r="F248" s="20">
        <v>89.3</v>
      </c>
      <c r="G248" s="20">
        <v>89.4</v>
      </c>
      <c r="H248" s="20">
        <v>88.8</v>
      </c>
      <c r="I248" s="20">
        <v>89.2</v>
      </c>
      <c r="J248" s="187">
        <v>89.1</v>
      </c>
      <c r="K248" s="20">
        <v>2.4</v>
      </c>
      <c r="L248" s="20">
        <v>3.2</v>
      </c>
      <c r="M248" s="20">
        <v>3.9</v>
      </c>
      <c r="N248" s="20">
        <v>2.8</v>
      </c>
      <c r="O248" s="20">
        <v>3.1</v>
      </c>
      <c r="P248" s="20">
        <v>3</v>
      </c>
      <c r="Q248" s="20">
        <v>2.9</v>
      </c>
      <c r="R248" s="20">
        <v>3.2</v>
      </c>
      <c r="S248" s="20">
        <v>2.9</v>
      </c>
      <c r="T248" s="20">
        <v>0.9</v>
      </c>
      <c r="U248" s="20">
        <v>1</v>
      </c>
      <c r="V248" s="20">
        <v>1</v>
      </c>
      <c r="W248" s="20">
        <v>1</v>
      </c>
      <c r="X248" s="20">
        <v>0.8</v>
      </c>
      <c r="Y248" s="20">
        <v>0.9</v>
      </c>
      <c r="Z248" s="20">
        <v>0.3</v>
      </c>
      <c r="AA248" s="20">
        <v>0.9</v>
      </c>
      <c r="AB248" s="20">
        <v>0.9</v>
      </c>
    </row>
    <row r="249" spans="1:28" x14ac:dyDescent="0.2">
      <c r="A249" s="22">
        <v>39508</v>
      </c>
      <c r="B249" s="20">
        <v>90.3</v>
      </c>
      <c r="C249" s="20">
        <v>90.7</v>
      </c>
      <c r="D249" s="20">
        <v>89.6</v>
      </c>
      <c r="E249" s="20">
        <v>90.1</v>
      </c>
      <c r="F249" s="20">
        <v>90.5</v>
      </c>
      <c r="G249" s="20">
        <v>90.5</v>
      </c>
      <c r="H249" s="20">
        <v>89.6</v>
      </c>
      <c r="I249" s="20">
        <v>90.5</v>
      </c>
      <c r="J249" s="187">
        <v>90.3</v>
      </c>
      <c r="K249" s="20">
        <v>3.9</v>
      </c>
      <c r="L249" s="20">
        <v>4.4000000000000004</v>
      </c>
      <c r="M249" s="20">
        <v>4.8</v>
      </c>
      <c r="N249" s="20">
        <v>4.4000000000000004</v>
      </c>
      <c r="O249" s="20">
        <v>4.3</v>
      </c>
      <c r="P249" s="20">
        <v>3.7</v>
      </c>
      <c r="Q249" s="20">
        <v>3.8</v>
      </c>
      <c r="R249" s="20">
        <v>4.5999999999999996</v>
      </c>
      <c r="S249" s="20">
        <v>4.3</v>
      </c>
      <c r="T249" s="20">
        <v>1.3</v>
      </c>
      <c r="U249" s="20">
        <v>1.3</v>
      </c>
      <c r="V249" s="20">
        <v>1.4</v>
      </c>
      <c r="W249" s="20">
        <v>1.3</v>
      </c>
      <c r="X249" s="20">
        <v>1.3</v>
      </c>
      <c r="Y249" s="20">
        <v>1.2</v>
      </c>
      <c r="Z249" s="20">
        <v>0.9</v>
      </c>
      <c r="AA249" s="20">
        <v>1.5</v>
      </c>
      <c r="AB249" s="20">
        <v>1.3</v>
      </c>
    </row>
    <row r="250" spans="1:28" x14ac:dyDescent="0.2">
      <c r="A250" s="22">
        <v>39600</v>
      </c>
      <c r="B250" s="20">
        <v>91.7</v>
      </c>
      <c r="C250" s="20">
        <v>91.8</v>
      </c>
      <c r="D250" s="20">
        <v>91.1</v>
      </c>
      <c r="E250" s="20">
        <v>91.3</v>
      </c>
      <c r="F250" s="20">
        <v>92</v>
      </c>
      <c r="G250" s="20">
        <v>91.5</v>
      </c>
      <c r="H250" s="20">
        <v>90.9</v>
      </c>
      <c r="I250" s="20">
        <v>91.6</v>
      </c>
      <c r="J250" s="187">
        <v>91.6</v>
      </c>
      <c r="K250" s="20">
        <v>4.3</v>
      </c>
      <c r="L250" s="20">
        <v>4.4000000000000004</v>
      </c>
      <c r="M250" s="20">
        <v>5.0999999999999996</v>
      </c>
      <c r="N250" s="20">
        <v>4.5999999999999996</v>
      </c>
      <c r="O250" s="20">
        <v>4.5</v>
      </c>
      <c r="P250" s="20">
        <v>3.5</v>
      </c>
      <c r="Q250" s="20">
        <v>3.9</v>
      </c>
      <c r="R250" s="20">
        <v>4.4000000000000004</v>
      </c>
      <c r="S250" s="20">
        <v>4.4000000000000004</v>
      </c>
      <c r="T250" s="20">
        <v>1.6</v>
      </c>
      <c r="U250" s="20">
        <v>1.2</v>
      </c>
      <c r="V250" s="20">
        <v>1.7</v>
      </c>
      <c r="W250" s="20">
        <v>1.3</v>
      </c>
      <c r="X250" s="20">
        <v>1.7</v>
      </c>
      <c r="Y250" s="20">
        <v>1.1000000000000001</v>
      </c>
      <c r="Z250" s="20">
        <v>1.5</v>
      </c>
      <c r="AA250" s="20">
        <v>1.2</v>
      </c>
      <c r="AB250" s="20">
        <v>1.4</v>
      </c>
    </row>
    <row r="251" spans="1:28" x14ac:dyDescent="0.2">
      <c r="A251" s="22">
        <v>39692</v>
      </c>
      <c r="B251" s="20">
        <v>92.7</v>
      </c>
      <c r="C251" s="20">
        <v>92.9</v>
      </c>
      <c r="D251" s="20">
        <v>92.4</v>
      </c>
      <c r="E251" s="20">
        <v>92.5</v>
      </c>
      <c r="F251" s="20">
        <v>92.9</v>
      </c>
      <c r="G251" s="20">
        <v>92.5</v>
      </c>
      <c r="H251" s="20">
        <v>92.5</v>
      </c>
      <c r="I251" s="20">
        <v>93</v>
      </c>
      <c r="J251" s="187">
        <v>92.7</v>
      </c>
      <c r="K251" s="20">
        <v>5</v>
      </c>
      <c r="L251" s="20">
        <v>4.9000000000000004</v>
      </c>
      <c r="M251" s="20">
        <v>5.6</v>
      </c>
      <c r="N251" s="20">
        <v>5.0999999999999996</v>
      </c>
      <c r="O251" s="20">
        <v>4.9000000000000004</v>
      </c>
      <c r="P251" s="20">
        <v>4.4000000000000004</v>
      </c>
      <c r="Q251" s="20">
        <v>4.5</v>
      </c>
      <c r="R251" s="20">
        <v>5.2</v>
      </c>
      <c r="S251" s="20">
        <v>5</v>
      </c>
      <c r="T251" s="20">
        <v>1.1000000000000001</v>
      </c>
      <c r="U251" s="20">
        <v>1.2</v>
      </c>
      <c r="V251" s="20">
        <v>1.4</v>
      </c>
      <c r="W251" s="20">
        <v>1.3</v>
      </c>
      <c r="X251" s="20">
        <v>1</v>
      </c>
      <c r="Y251" s="20">
        <v>1.1000000000000001</v>
      </c>
      <c r="Z251" s="20">
        <v>1.8</v>
      </c>
      <c r="AA251" s="20">
        <v>1.5</v>
      </c>
      <c r="AB251" s="20">
        <v>1.2</v>
      </c>
    </row>
    <row r="252" spans="1:28" x14ac:dyDescent="0.2">
      <c r="A252" s="22">
        <v>39783</v>
      </c>
      <c r="B252" s="20">
        <v>92.4</v>
      </c>
      <c r="C252" s="20">
        <v>92.3</v>
      </c>
      <c r="D252" s="20">
        <v>92.2</v>
      </c>
      <c r="E252" s="20">
        <v>92.2</v>
      </c>
      <c r="F252" s="20">
        <v>92.6</v>
      </c>
      <c r="G252" s="20">
        <v>92.3</v>
      </c>
      <c r="H252" s="20">
        <v>92.1</v>
      </c>
      <c r="I252" s="20">
        <v>92.6</v>
      </c>
      <c r="J252" s="187">
        <v>92.4</v>
      </c>
      <c r="K252" s="20">
        <v>3.7</v>
      </c>
      <c r="L252" s="20">
        <v>3.1</v>
      </c>
      <c r="M252" s="20">
        <v>4.3</v>
      </c>
      <c r="N252" s="20">
        <v>3.7</v>
      </c>
      <c r="O252" s="20">
        <v>3.7</v>
      </c>
      <c r="P252" s="20">
        <v>3.2</v>
      </c>
      <c r="Q252" s="20">
        <v>3.7</v>
      </c>
      <c r="R252" s="20">
        <v>3.8</v>
      </c>
      <c r="S252" s="20">
        <v>3.7</v>
      </c>
      <c r="T252" s="20">
        <v>-0.3</v>
      </c>
      <c r="U252" s="20">
        <v>-0.6</v>
      </c>
      <c r="V252" s="20">
        <v>-0.2</v>
      </c>
      <c r="W252" s="20">
        <v>-0.3</v>
      </c>
      <c r="X252" s="20">
        <v>-0.3</v>
      </c>
      <c r="Y252" s="20">
        <v>-0.2</v>
      </c>
      <c r="Z252" s="20">
        <v>-0.4</v>
      </c>
      <c r="AA252" s="20">
        <v>-0.4</v>
      </c>
      <c r="AB252" s="20">
        <v>-0.3</v>
      </c>
    </row>
    <row r="253" spans="1:28" x14ac:dyDescent="0.2">
      <c r="A253" s="22">
        <v>39873</v>
      </c>
      <c r="B253" s="20">
        <v>92.5</v>
      </c>
      <c r="C253" s="20">
        <v>92.6</v>
      </c>
      <c r="D253" s="20">
        <v>92.4</v>
      </c>
      <c r="E253" s="20">
        <v>92.2</v>
      </c>
      <c r="F253" s="20">
        <v>92.5</v>
      </c>
      <c r="G253" s="20">
        <v>92.5</v>
      </c>
      <c r="H253" s="20">
        <v>92.2</v>
      </c>
      <c r="I253" s="20">
        <v>92.9</v>
      </c>
      <c r="J253" s="187">
        <v>92.5</v>
      </c>
      <c r="K253" s="20">
        <v>2.4</v>
      </c>
      <c r="L253" s="20">
        <v>2.1</v>
      </c>
      <c r="M253" s="20">
        <v>3.1</v>
      </c>
      <c r="N253" s="20">
        <v>2.2999999999999998</v>
      </c>
      <c r="O253" s="20">
        <v>2.2000000000000002</v>
      </c>
      <c r="P253" s="20">
        <v>2.2000000000000002</v>
      </c>
      <c r="Q253" s="20">
        <v>2.9</v>
      </c>
      <c r="R253" s="20">
        <v>2.7</v>
      </c>
      <c r="S253" s="20">
        <v>2.4</v>
      </c>
      <c r="T253" s="20">
        <v>0.1</v>
      </c>
      <c r="U253" s="20">
        <v>0.3</v>
      </c>
      <c r="V253" s="20">
        <v>0.2</v>
      </c>
      <c r="W253" s="20">
        <v>0</v>
      </c>
      <c r="X253" s="20">
        <v>-0.1</v>
      </c>
      <c r="Y253" s="20">
        <v>0.2</v>
      </c>
      <c r="Z253" s="20">
        <v>0.1</v>
      </c>
      <c r="AA253" s="20">
        <v>0.3</v>
      </c>
      <c r="AB253" s="20">
        <v>0.1</v>
      </c>
    </row>
    <row r="254" spans="1:28" x14ac:dyDescent="0.2">
      <c r="A254" s="22">
        <v>39965</v>
      </c>
      <c r="B254" s="20">
        <v>92.9</v>
      </c>
      <c r="C254" s="20">
        <v>92.9</v>
      </c>
      <c r="D254" s="20">
        <v>92.9</v>
      </c>
      <c r="E254" s="20">
        <v>92.7</v>
      </c>
      <c r="F254" s="20">
        <v>93.3</v>
      </c>
      <c r="G254" s="20">
        <v>93</v>
      </c>
      <c r="H254" s="20">
        <v>93.2</v>
      </c>
      <c r="I254" s="20">
        <v>93.5</v>
      </c>
      <c r="J254" s="187">
        <v>92.9</v>
      </c>
      <c r="K254" s="20">
        <v>1.3</v>
      </c>
      <c r="L254" s="20">
        <v>1.2</v>
      </c>
      <c r="M254" s="20">
        <v>2</v>
      </c>
      <c r="N254" s="20">
        <v>1.5</v>
      </c>
      <c r="O254" s="20">
        <v>1.4</v>
      </c>
      <c r="P254" s="20">
        <v>1.6</v>
      </c>
      <c r="Q254" s="20">
        <v>2.5</v>
      </c>
      <c r="R254" s="20">
        <v>2.1</v>
      </c>
      <c r="S254" s="20">
        <v>1.4</v>
      </c>
      <c r="T254" s="20">
        <v>0.4</v>
      </c>
      <c r="U254" s="20">
        <v>0.3</v>
      </c>
      <c r="V254" s="20">
        <v>0.5</v>
      </c>
      <c r="W254" s="20">
        <v>0.5</v>
      </c>
      <c r="X254" s="20">
        <v>0.9</v>
      </c>
      <c r="Y254" s="20">
        <v>0.5</v>
      </c>
      <c r="Z254" s="20">
        <v>1.1000000000000001</v>
      </c>
      <c r="AA254" s="20">
        <v>0.6</v>
      </c>
      <c r="AB254" s="20">
        <v>0.4</v>
      </c>
    </row>
    <row r="255" spans="1:28" x14ac:dyDescent="0.2">
      <c r="A255" s="22">
        <v>40057</v>
      </c>
      <c r="B255" s="20">
        <v>93.9</v>
      </c>
      <c r="C255" s="20">
        <v>93.4</v>
      </c>
      <c r="D255" s="20">
        <v>94.2</v>
      </c>
      <c r="E255" s="20">
        <v>93.7</v>
      </c>
      <c r="F255" s="20">
        <v>94</v>
      </c>
      <c r="G255" s="20">
        <v>94.1</v>
      </c>
      <c r="H255" s="20">
        <v>95</v>
      </c>
      <c r="I255" s="20">
        <v>94.3</v>
      </c>
      <c r="J255" s="187">
        <v>93.8</v>
      </c>
      <c r="K255" s="20">
        <v>1.3</v>
      </c>
      <c r="L255" s="20">
        <v>0.5</v>
      </c>
      <c r="M255" s="20">
        <v>1.9</v>
      </c>
      <c r="N255" s="20">
        <v>1.3</v>
      </c>
      <c r="O255" s="20">
        <v>1.2</v>
      </c>
      <c r="P255" s="20">
        <v>1.7</v>
      </c>
      <c r="Q255" s="20">
        <v>2.7</v>
      </c>
      <c r="R255" s="20">
        <v>1.4</v>
      </c>
      <c r="S255" s="20">
        <v>1.2</v>
      </c>
      <c r="T255" s="20">
        <v>1.1000000000000001</v>
      </c>
      <c r="U255" s="20">
        <v>0.5</v>
      </c>
      <c r="V255" s="20">
        <v>1.4</v>
      </c>
      <c r="W255" s="20">
        <v>1.1000000000000001</v>
      </c>
      <c r="X255" s="20">
        <v>0.8</v>
      </c>
      <c r="Y255" s="20">
        <v>1.2</v>
      </c>
      <c r="Z255" s="20">
        <v>1.9</v>
      </c>
      <c r="AA255" s="20">
        <v>0.9</v>
      </c>
      <c r="AB255" s="20">
        <v>1</v>
      </c>
    </row>
    <row r="256" spans="1:28" x14ac:dyDescent="0.2">
      <c r="A256" s="22">
        <v>40148</v>
      </c>
      <c r="B256" s="20">
        <v>94.4</v>
      </c>
      <c r="C256" s="20">
        <v>94</v>
      </c>
      <c r="D256" s="20">
        <v>94.5</v>
      </c>
      <c r="E256" s="20">
        <v>94.1</v>
      </c>
      <c r="F256" s="20">
        <v>94.5</v>
      </c>
      <c r="G256" s="20">
        <v>94.7</v>
      </c>
      <c r="H256" s="20">
        <v>94.9</v>
      </c>
      <c r="I256" s="20">
        <v>94.7</v>
      </c>
      <c r="J256" s="187">
        <v>94.3</v>
      </c>
      <c r="K256" s="20">
        <v>2.2000000000000002</v>
      </c>
      <c r="L256" s="20">
        <v>1.8</v>
      </c>
      <c r="M256" s="20">
        <v>2.5</v>
      </c>
      <c r="N256" s="20">
        <v>2.1</v>
      </c>
      <c r="O256" s="20">
        <v>2.1</v>
      </c>
      <c r="P256" s="20">
        <v>2.6</v>
      </c>
      <c r="Q256" s="20">
        <v>3</v>
      </c>
      <c r="R256" s="20">
        <v>2.2999999999999998</v>
      </c>
      <c r="S256" s="20">
        <v>2.1</v>
      </c>
      <c r="T256" s="20">
        <v>0.5</v>
      </c>
      <c r="U256" s="20">
        <v>0.6</v>
      </c>
      <c r="V256" s="20">
        <v>0.3</v>
      </c>
      <c r="W256" s="20">
        <v>0.4</v>
      </c>
      <c r="X256" s="20">
        <v>0.5</v>
      </c>
      <c r="Y256" s="20">
        <v>0.6</v>
      </c>
      <c r="Z256" s="20">
        <v>-0.1</v>
      </c>
      <c r="AA256" s="20">
        <v>0.4</v>
      </c>
      <c r="AB256" s="20">
        <v>0.5</v>
      </c>
    </row>
    <row r="257" spans="1:28" x14ac:dyDescent="0.2">
      <c r="A257" s="22">
        <v>40238</v>
      </c>
      <c r="B257" s="20">
        <v>95.2</v>
      </c>
      <c r="C257" s="20">
        <v>95.2</v>
      </c>
      <c r="D257" s="20">
        <v>95.2</v>
      </c>
      <c r="E257" s="20">
        <v>94.6</v>
      </c>
      <c r="F257" s="20">
        <v>95.6</v>
      </c>
      <c r="G257" s="20">
        <v>95.4</v>
      </c>
      <c r="H257" s="20">
        <v>95.4</v>
      </c>
      <c r="I257" s="20">
        <v>95.3</v>
      </c>
      <c r="J257" s="187">
        <v>95.2</v>
      </c>
      <c r="K257" s="20">
        <v>2.9</v>
      </c>
      <c r="L257" s="20">
        <v>2.8</v>
      </c>
      <c r="M257" s="20">
        <v>3</v>
      </c>
      <c r="N257" s="20">
        <v>2.6</v>
      </c>
      <c r="O257" s="20">
        <v>3.4</v>
      </c>
      <c r="P257" s="20">
        <v>3.1</v>
      </c>
      <c r="Q257" s="20">
        <v>3.5</v>
      </c>
      <c r="R257" s="20">
        <v>2.6</v>
      </c>
      <c r="S257" s="20">
        <v>2.9</v>
      </c>
      <c r="T257" s="20">
        <v>0.8</v>
      </c>
      <c r="U257" s="20">
        <v>1.3</v>
      </c>
      <c r="V257" s="20">
        <v>0.7</v>
      </c>
      <c r="W257" s="20">
        <v>0.5</v>
      </c>
      <c r="X257" s="20">
        <v>1.2</v>
      </c>
      <c r="Y257" s="20">
        <v>0.7</v>
      </c>
      <c r="Z257" s="20">
        <v>0.5</v>
      </c>
      <c r="AA257" s="20">
        <v>0.6</v>
      </c>
      <c r="AB257" s="20">
        <v>1</v>
      </c>
    </row>
    <row r="258" spans="1:28" x14ac:dyDescent="0.2">
      <c r="A258" s="22">
        <v>40330</v>
      </c>
      <c r="B258" s="20">
        <v>95.6</v>
      </c>
      <c r="C258" s="20">
        <v>95.8</v>
      </c>
      <c r="D258" s="20">
        <v>95.9</v>
      </c>
      <c r="E258" s="20">
        <v>95.3</v>
      </c>
      <c r="F258" s="20">
        <v>96.5</v>
      </c>
      <c r="G258" s="20">
        <v>95.8</v>
      </c>
      <c r="H258" s="20">
        <v>96.2</v>
      </c>
      <c r="I258" s="20">
        <v>95.6</v>
      </c>
      <c r="J258" s="187">
        <v>95.8</v>
      </c>
      <c r="K258" s="20">
        <v>2.9</v>
      </c>
      <c r="L258" s="20">
        <v>3.1</v>
      </c>
      <c r="M258" s="20">
        <v>3.2</v>
      </c>
      <c r="N258" s="20">
        <v>2.8</v>
      </c>
      <c r="O258" s="20">
        <v>3.4</v>
      </c>
      <c r="P258" s="20">
        <v>3</v>
      </c>
      <c r="Q258" s="20">
        <v>3.2</v>
      </c>
      <c r="R258" s="20">
        <v>2.2000000000000002</v>
      </c>
      <c r="S258" s="20">
        <v>3.1</v>
      </c>
      <c r="T258" s="20">
        <v>0.4</v>
      </c>
      <c r="U258" s="20">
        <v>0.6</v>
      </c>
      <c r="V258" s="20">
        <v>0.7</v>
      </c>
      <c r="W258" s="20">
        <v>0.7</v>
      </c>
      <c r="X258" s="20">
        <v>0.9</v>
      </c>
      <c r="Y258" s="20">
        <v>0.4</v>
      </c>
      <c r="Z258" s="20">
        <v>0.8</v>
      </c>
      <c r="AA258" s="20">
        <v>0.3</v>
      </c>
      <c r="AB258" s="20">
        <v>0.6</v>
      </c>
    </row>
    <row r="259" spans="1:28" x14ac:dyDescent="0.2">
      <c r="A259" s="22">
        <v>40422</v>
      </c>
      <c r="B259" s="20">
        <v>96.3</v>
      </c>
      <c r="C259" s="20">
        <v>96.3</v>
      </c>
      <c r="D259" s="20">
        <v>96.9</v>
      </c>
      <c r="E259" s="20">
        <v>96.2</v>
      </c>
      <c r="F259" s="20">
        <v>96.9</v>
      </c>
      <c r="G259" s="20">
        <v>96.8</v>
      </c>
      <c r="H259" s="20">
        <v>97.2</v>
      </c>
      <c r="I259" s="20">
        <v>96.3</v>
      </c>
      <c r="J259" s="187">
        <v>96.5</v>
      </c>
      <c r="K259" s="20">
        <v>2.6</v>
      </c>
      <c r="L259" s="20">
        <v>3.1</v>
      </c>
      <c r="M259" s="20">
        <v>2.9</v>
      </c>
      <c r="N259" s="20">
        <v>2.7</v>
      </c>
      <c r="O259" s="20">
        <v>3.1</v>
      </c>
      <c r="P259" s="20">
        <v>2.9</v>
      </c>
      <c r="Q259" s="20">
        <v>2.2999999999999998</v>
      </c>
      <c r="R259" s="20">
        <v>2.1</v>
      </c>
      <c r="S259" s="20">
        <v>2.9</v>
      </c>
      <c r="T259" s="20">
        <v>0.7</v>
      </c>
      <c r="U259" s="20">
        <v>0.5</v>
      </c>
      <c r="V259" s="20">
        <v>1</v>
      </c>
      <c r="W259" s="20">
        <v>0.9</v>
      </c>
      <c r="X259" s="20">
        <v>0.4</v>
      </c>
      <c r="Y259" s="20">
        <v>1</v>
      </c>
      <c r="Z259" s="20">
        <v>1</v>
      </c>
      <c r="AA259" s="20">
        <v>0.7</v>
      </c>
      <c r="AB259" s="20">
        <v>0.7</v>
      </c>
    </row>
    <row r="260" spans="1:28" x14ac:dyDescent="0.2">
      <c r="A260" s="22">
        <v>40513</v>
      </c>
      <c r="B260" s="20">
        <v>96.7</v>
      </c>
      <c r="C260" s="20">
        <v>96.9</v>
      </c>
      <c r="D260" s="20">
        <v>97.4</v>
      </c>
      <c r="E260" s="20">
        <v>96.5</v>
      </c>
      <c r="F260" s="20">
        <v>97</v>
      </c>
      <c r="G260" s="20">
        <v>96.9</v>
      </c>
      <c r="H260" s="20">
        <v>97.1</v>
      </c>
      <c r="I260" s="20">
        <v>96.7</v>
      </c>
      <c r="J260" s="187">
        <v>96.9</v>
      </c>
      <c r="K260" s="20">
        <v>2.4</v>
      </c>
      <c r="L260" s="20">
        <v>3.1</v>
      </c>
      <c r="M260" s="20">
        <v>3.1</v>
      </c>
      <c r="N260" s="20">
        <v>2.6</v>
      </c>
      <c r="O260" s="20">
        <v>2.6</v>
      </c>
      <c r="P260" s="20">
        <v>2.2999999999999998</v>
      </c>
      <c r="Q260" s="20">
        <v>2.2999999999999998</v>
      </c>
      <c r="R260" s="20">
        <v>2.1</v>
      </c>
      <c r="S260" s="20">
        <v>2.8</v>
      </c>
      <c r="T260" s="20">
        <v>0.4</v>
      </c>
      <c r="U260" s="20">
        <v>0.6</v>
      </c>
      <c r="V260" s="20">
        <v>0.5</v>
      </c>
      <c r="W260" s="20">
        <v>0.3</v>
      </c>
      <c r="X260" s="20">
        <v>0.1</v>
      </c>
      <c r="Y260" s="20">
        <v>0.1</v>
      </c>
      <c r="Z260" s="20">
        <v>-0.1</v>
      </c>
      <c r="AA260" s="20">
        <v>0.4</v>
      </c>
      <c r="AB260" s="20">
        <v>0.4</v>
      </c>
    </row>
    <row r="261" spans="1:28" x14ac:dyDescent="0.2">
      <c r="A261" s="22">
        <v>40603</v>
      </c>
      <c r="B261" s="20">
        <v>98.2</v>
      </c>
      <c r="C261" s="20">
        <v>98.5</v>
      </c>
      <c r="D261" s="20">
        <v>98.6</v>
      </c>
      <c r="E261" s="20">
        <v>98.1</v>
      </c>
      <c r="F261" s="20">
        <v>98.1</v>
      </c>
      <c r="G261" s="20">
        <v>98.2</v>
      </c>
      <c r="H261" s="20">
        <v>98.2</v>
      </c>
      <c r="I261" s="20">
        <v>98.1</v>
      </c>
      <c r="J261" s="187">
        <v>98.3</v>
      </c>
      <c r="K261" s="20">
        <v>3.2</v>
      </c>
      <c r="L261" s="20">
        <v>3.5</v>
      </c>
      <c r="M261" s="20">
        <v>3.6</v>
      </c>
      <c r="N261" s="20">
        <v>3.7</v>
      </c>
      <c r="O261" s="20">
        <v>2.6</v>
      </c>
      <c r="P261" s="20">
        <v>2.9</v>
      </c>
      <c r="Q261" s="20">
        <v>2.9</v>
      </c>
      <c r="R261" s="20">
        <v>2.9</v>
      </c>
      <c r="S261" s="20">
        <v>3.3</v>
      </c>
      <c r="T261" s="20">
        <v>1.6</v>
      </c>
      <c r="U261" s="20">
        <v>1.7</v>
      </c>
      <c r="V261" s="20">
        <v>1.2</v>
      </c>
      <c r="W261" s="20">
        <v>1.7</v>
      </c>
      <c r="X261" s="20">
        <v>1.1000000000000001</v>
      </c>
      <c r="Y261" s="20">
        <v>1.3</v>
      </c>
      <c r="Z261" s="20">
        <v>1.1000000000000001</v>
      </c>
      <c r="AA261" s="20">
        <v>1.4</v>
      </c>
      <c r="AB261" s="20">
        <v>1.4</v>
      </c>
    </row>
    <row r="262" spans="1:28" x14ac:dyDescent="0.2">
      <c r="A262" s="22">
        <v>40695</v>
      </c>
      <c r="B262" s="20">
        <v>99.2</v>
      </c>
      <c r="C262" s="20">
        <v>99.2</v>
      </c>
      <c r="D262" s="20">
        <v>99.6</v>
      </c>
      <c r="E262" s="20">
        <v>99</v>
      </c>
      <c r="F262" s="20">
        <v>99.4</v>
      </c>
      <c r="G262" s="20">
        <v>99.1</v>
      </c>
      <c r="H262" s="20">
        <v>99.2</v>
      </c>
      <c r="I262" s="20">
        <v>99.2</v>
      </c>
      <c r="J262" s="187">
        <v>99.2</v>
      </c>
      <c r="K262" s="20">
        <v>3.8</v>
      </c>
      <c r="L262" s="20">
        <v>3.5</v>
      </c>
      <c r="M262" s="20">
        <v>3.9</v>
      </c>
      <c r="N262" s="20">
        <v>3.9</v>
      </c>
      <c r="O262" s="20">
        <v>3</v>
      </c>
      <c r="P262" s="20">
        <v>3.4</v>
      </c>
      <c r="Q262" s="20">
        <v>3.1</v>
      </c>
      <c r="R262" s="20">
        <v>3.8</v>
      </c>
      <c r="S262" s="20">
        <v>3.5</v>
      </c>
      <c r="T262" s="20">
        <v>1</v>
      </c>
      <c r="U262" s="20">
        <v>0.7</v>
      </c>
      <c r="V262" s="20">
        <v>1</v>
      </c>
      <c r="W262" s="20">
        <v>0.9</v>
      </c>
      <c r="X262" s="20">
        <v>1.3</v>
      </c>
      <c r="Y262" s="20">
        <v>0.9</v>
      </c>
      <c r="Z262" s="20">
        <v>1</v>
      </c>
      <c r="AA262" s="20">
        <v>1.1000000000000001</v>
      </c>
      <c r="AB262" s="20">
        <v>0.9</v>
      </c>
    </row>
    <row r="263" spans="1:28" x14ac:dyDescent="0.2">
      <c r="A263" s="22">
        <v>40787</v>
      </c>
      <c r="B263" s="20">
        <v>99.9</v>
      </c>
      <c r="C263" s="20">
        <v>99.8</v>
      </c>
      <c r="D263" s="20">
        <v>99.9</v>
      </c>
      <c r="E263" s="20">
        <v>100</v>
      </c>
      <c r="F263" s="20">
        <v>99.6</v>
      </c>
      <c r="G263" s="20">
        <v>99.9</v>
      </c>
      <c r="H263" s="20">
        <v>99.9</v>
      </c>
      <c r="I263" s="20">
        <v>99.8</v>
      </c>
      <c r="J263" s="187">
        <v>99.8</v>
      </c>
      <c r="K263" s="20">
        <v>3.7</v>
      </c>
      <c r="L263" s="20">
        <v>3.6</v>
      </c>
      <c r="M263" s="20">
        <v>3.1</v>
      </c>
      <c r="N263" s="20">
        <v>4</v>
      </c>
      <c r="O263" s="20">
        <v>2.8</v>
      </c>
      <c r="P263" s="20">
        <v>3.2</v>
      </c>
      <c r="Q263" s="20">
        <v>2.8</v>
      </c>
      <c r="R263" s="20">
        <v>3.6</v>
      </c>
      <c r="S263" s="20">
        <v>3.4</v>
      </c>
      <c r="T263" s="20">
        <v>0.7</v>
      </c>
      <c r="U263" s="20">
        <v>0.6</v>
      </c>
      <c r="V263" s="20">
        <v>0.3</v>
      </c>
      <c r="W263" s="20">
        <v>1</v>
      </c>
      <c r="X263" s="20">
        <v>0.2</v>
      </c>
      <c r="Y263" s="20">
        <v>0.8</v>
      </c>
      <c r="Z263" s="20">
        <v>0.7</v>
      </c>
      <c r="AA263" s="20">
        <v>0.6</v>
      </c>
      <c r="AB263" s="20">
        <v>0.6</v>
      </c>
    </row>
    <row r="264" spans="1:28" x14ac:dyDescent="0.2">
      <c r="A264" s="22">
        <v>40878</v>
      </c>
      <c r="B264" s="20">
        <v>99.8</v>
      </c>
      <c r="C264" s="20">
        <v>99.9</v>
      </c>
      <c r="D264" s="20">
        <v>99.7</v>
      </c>
      <c r="E264" s="20">
        <v>100</v>
      </c>
      <c r="F264" s="20">
        <v>99.8</v>
      </c>
      <c r="G264" s="20">
        <v>100</v>
      </c>
      <c r="H264" s="20">
        <v>99.5</v>
      </c>
      <c r="I264" s="20">
        <v>100.1</v>
      </c>
      <c r="J264" s="187">
        <v>99.8</v>
      </c>
      <c r="K264" s="20">
        <v>3.2</v>
      </c>
      <c r="L264" s="20">
        <v>3.1</v>
      </c>
      <c r="M264" s="20">
        <v>2.4</v>
      </c>
      <c r="N264" s="20">
        <v>3.6</v>
      </c>
      <c r="O264" s="20">
        <v>2.9</v>
      </c>
      <c r="P264" s="20">
        <v>3.2</v>
      </c>
      <c r="Q264" s="20">
        <v>2.5</v>
      </c>
      <c r="R264" s="20">
        <v>3.5</v>
      </c>
      <c r="S264" s="20">
        <v>3</v>
      </c>
      <c r="T264" s="20">
        <v>-0.1</v>
      </c>
      <c r="U264" s="20">
        <v>0.1</v>
      </c>
      <c r="V264" s="20">
        <v>-0.2</v>
      </c>
      <c r="W264" s="20">
        <v>0</v>
      </c>
      <c r="X264" s="20">
        <v>0.2</v>
      </c>
      <c r="Y264" s="20">
        <v>0.1</v>
      </c>
      <c r="Z264" s="20">
        <v>-0.4</v>
      </c>
      <c r="AA264" s="20">
        <v>0.3</v>
      </c>
      <c r="AB264" s="20">
        <v>0</v>
      </c>
    </row>
    <row r="265" spans="1:28" x14ac:dyDescent="0.2">
      <c r="A265" s="22">
        <v>40969</v>
      </c>
      <c r="B265" s="20">
        <v>99.9</v>
      </c>
      <c r="C265" s="20">
        <v>99.9</v>
      </c>
      <c r="D265" s="20">
        <v>99.9</v>
      </c>
      <c r="E265" s="20">
        <v>99.9</v>
      </c>
      <c r="F265" s="20">
        <v>100</v>
      </c>
      <c r="G265" s="20">
        <v>100.3</v>
      </c>
      <c r="H265" s="20">
        <v>99.9</v>
      </c>
      <c r="I265" s="20">
        <v>99.7</v>
      </c>
      <c r="J265" s="187">
        <v>99.9</v>
      </c>
      <c r="K265" s="20">
        <v>1.7</v>
      </c>
      <c r="L265" s="20">
        <v>1.4</v>
      </c>
      <c r="M265" s="20">
        <v>1.3</v>
      </c>
      <c r="N265" s="20">
        <v>1.8</v>
      </c>
      <c r="O265" s="20">
        <v>1.9</v>
      </c>
      <c r="P265" s="20">
        <v>2.1</v>
      </c>
      <c r="Q265" s="20">
        <v>1.7</v>
      </c>
      <c r="R265" s="20">
        <v>1.6</v>
      </c>
      <c r="S265" s="20">
        <v>1.6</v>
      </c>
      <c r="T265" s="20">
        <v>0.1</v>
      </c>
      <c r="U265" s="20">
        <v>0</v>
      </c>
      <c r="V265" s="20">
        <v>0.2</v>
      </c>
      <c r="W265" s="20">
        <v>-0.1</v>
      </c>
      <c r="X265" s="20">
        <v>0.2</v>
      </c>
      <c r="Y265" s="20">
        <v>0.3</v>
      </c>
      <c r="Z265" s="20">
        <v>0.4</v>
      </c>
      <c r="AA265" s="20">
        <v>-0.4</v>
      </c>
      <c r="AB265" s="20">
        <v>0.1</v>
      </c>
    </row>
    <row r="266" spans="1:28" x14ac:dyDescent="0.2">
      <c r="A266" s="22">
        <v>41061</v>
      </c>
      <c r="B266" s="20">
        <v>100.5</v>
      </c>
      <c r="C266" s="20">
        <v>100.4</v>
      </c>
      <c r="D266" s="20">
        <v>100.5</v>
      </c>
      <c r="E266" s="20">
        <v>100.2</v>
      </c>
      <c r="F266" s="20">
        <v>100.5</v>
      </c>
      <c r="G266" s="20">
        <v>99.9</v>
      </c>
      <c r="H266" s="20">
        <v>100.7</v>
      </c>
      <c r="I266" s="20">
        <v>100.3</v>
      </c>
      <c r="J266" s="187">
        <v>100.4</v>
      </c>
      <c r="K266" s="20">
        <v>1.3</v>
      </c>
      <c r="L266" s="20">
        <v>1.2</v>
      </c>
      <c r="M266" s="20">
        <v>0.9</v>
      </c>
      <c r="N266" s="20">
        <v>1.2</v>
      </c>
      <c r="O266" s="20">
        <v>1.1000000000000001</v>
      </c>
      <c r="P266" s="20">
        <v>0.8</v>
      </c>
      <c r="Q266" s="20">
        <v>1.5</v>
      </c>
      <c r="R266" s="20">
        <v>1.1000000000000001</v>
      </c>
      <c r="S266" s="20">
        <v>1.2</v>
      </c>
      <c r="T266" s="20">
        <v>0.6</v>
      </c>
      <c r="U266" s="20">
        <v>0.5</v>
      </c>
      <c r="V266" s="20">
        <v>0.6</v>
      </c>
      <c r="W266" s="20">
        <v>0.3</v>
      </c>
      <c r="X266" s="20">
        <v>0.5</v>
      </c>
      <c r="Y266" s="20">
        <v>-0.4</v>
      </c>
      <c r="Z266" s="20">
        <v>0.8</v>
      </c>
      <c r="AA266" s="20">
        <v>0.6</v>
      </c>
      <c r="AB266" s="20">
        <v>0.5</v>
      </c>
    </row>
    <row r="267" spans="1:28" x14ac:dyDescent="0.2">
      <c r="A267" s="22">
        <v>41153</v>
      </c>
      <c r="B267" s="20">
        <v>102.2</v>
      </c>
      <c r="C267" s="20">
        <v>101.6</v>
      </c>
      <c r="D267" s="20">
        <v>101.6</v>
      </c>
      <c r="E267" s="20">
        <v>101.7</v>
      </c>
      <c r="F267" s="20">
        <v>101.6</v>
      </c>
      <c r="G267" s="20">
        <v>100.6</v>
      </c>
      <c r="H267" s="20">
        <v>102</v>
      </c>
      <c r="I267" s="20">
        <v>101.4</v>
      </c>
      <c r="J267" s="187">
        <v>101.8</v>
      </c>
      <c r="K267" s="20">
        <v>2.2999999999999998</v>
      </c>
      <c r="L267" s="20">
        <v>1.8</v>
      </c>
      <c r="M267" s="20">
        <v>1.7</v>
      </c>
      <c r="N267" s="20">
        <v>1.7</v>
      </c>
      <c r="O267" s="20">
        <v>2</v>
      </c>
      <c r="P267" s="20">
        <v>0.7</v>
      </c>
      <c r="Q267" s="20">
        <v>2.1</v>
      </c>
      <c r="R267" s="20">
        <v>1.6</v>
      </c>
      <c r="S267" s="20">
        <v>2</v>
      </c>
      <c r="T267" s="20">
        <v>1.7</v>
      </c>
      <c r="U267" s="20">
        <v>1.2</v>
      </c>
      <c r="V267" s="20">
        <v>1.1000000000000001</v>
      </c>
      <c r="W267" s="20">
        <v>1.5</v>
      </c>
      <c r="X267" s="20">
        <v>1.1000000000000001</v>
      </c>
      <c r="Y267" s="20">
        <v>0.7</v>
      </c>
      <c r="Z267" s="20">
        <v>1.3</v>
      </c>
      <c r="AA267" s="20">
        <v>1.1000000000000001</v>
      </c>
      <c r="AB267" s="20">
        <v>1.4</v>
      </c>
    </row>
    <row r="268" spans="1:28" x14ac:dyDescent="0.2">
      <c r="A268" s="22">
        <v>41244</v>
      </c>
      <c r="B268" s="20">
        <v>102.3</v>
      </c>
      <c r="C268" s="20">
        <v>102</v>
      </c>
      <c r="D268" s="20">
        <v>101.9</v>
      </c>
      <c r="E268" s="20">
        <v>102.1</v>
      </c>
      <c r="F268" s="20">
        <v>101.9</v>
      </c>
      <c r="G268" s="20">
        <v>101</v>
      </c>
      <c r="H268" s="20">
        <v>102</v>
      </c>
      <c r="I268" s="20">
        <v>101.8</v>
      </c>
      <c r="J268" s="187">
        <v>102</v>
      </c>
      <c r="K268" s="20">
        <v>2.5</v>
      </c>
      <c r="L268" s="20">
        <v>2.1</v>
      </c>
      <c r="M268" s="20">
        <v>2.2000000000000002</v>
      </c>
      <c r="N268" s="20">
        <v>2.1</v>
      </c>
      <c r="O268" s="20">
        <v>2.1</v>
      </c>
      <c r="P268" s="20">
        <v>1</v>
      </c>
      <c r="Q268" s="20">
        <v>2.5</v>
      </c>
      <c r="R268" s="20">
        <v>1.7</v>
      </c>
      <c r="S268" s="20">
        <v>2.2000000000000002</v>
      </c>
      <c r="T268" s="20">
        <v>0.1</v>
      </c>
      <c r="U268" s="20">
        <v>0.4</v>
      </c>
      <c r="V268" s="20">
        <v>0.3</v>
      </c>
      <c r="W268" s="20">
        <v>0.4</v>
      </c>
      <c r="X268" s="20">
        <v>0.3</v>
      </c>
      <c r="Y268" s="20">
        <v>0.4</v>
      </c>
      <c r="Z268" s="20">
        <v>0</v>
      </c>
      <c r="AA268" s="20">
        <v>0.4</v>
      </c>
      <c r="AB268" s="20">
        <v>0.2</v>
      </c>
    </row>
    <row r="269" spans="1:28" x14ac:dyDescent="0.2">
      <c r="A269" s="22">
        <v>41334</v>
      </c>
      <c r="B269" s="20">
        <v>102.7</v>
      </c>
      <c r="C269" s="20">
        <v>102.4</v>
      </c>
      <c r="D269" s="20">
        <v>102</v>
      </c>
      <c r="E269" s="20">
        <v>102.1</v>
      </c>
      <c r="F269" s="20">
        <v>102.4</v>
      </c>
      <c r="G269" s="20">
        <v>101.3</v>
      </c>
      <c r="H269" s="20">
        <v>103.7</v>
      </c>
      <c r="I269" s="20">
        <v>101.9</v>
      </c>
      <c r="J269" s="187">
        <v>102.4</v>
      </c>
      <c r="K269" s="20">
        <v>2.8</v>
      </c>
      <c r="L269" s="20">
        <v>2.5</v>
      </c>
      <c r="M269" s="20">
        <v>2.1</v>
      </c>
      <c r="N269" s="20">
        <v>2.2000000000000002</v>
      </c>
      <c r="O269" s="20">
        <v>2.4</v>
      </c>
      <c r="P269" s="20">
        <v>1</v>
      </c>
      <c r="Q269" s="20">
        <v>3.8</v>
      </c>
      <c r="R269" s="20">
        <v>2.2000000000000002</v>
      </c>
      <c r="S269" s="20">
        <v>2.5</v>
      </c>
      <c r="T269" s="20">
        <v>0.4</v>
      </c>
      <c r="U269" s="20">
        <v>0.4</v>
      </c>
      <c r="V269" s="20">
        <v>0.1</v>
      </c>
      <c r="W269" s="20">
        <v>0</v>
      </c>
      <c r="X269" s="20">
        <v>0.5</v>
      </c>
      <c r="Y269" s="20">
        <v>0.3</v>
      </c>
      <c r="Z269" s="20">
        <v>1.7</v>
      </c>
      <c r="AA269" s="20">
        <v>0.1</v>
      </c>
      <c r="AB269" s="20">
        <v>0.4</v>
      </c>
    </row>
    <row r="270" spans="1:28" x14ac:dyDescent="0.2">
      <c r="A270" s="22">
        <v>41426</v>
      </c>
      <c r="B270" s="20">
        <v>103.1</v>
      </c>
      <c r="C270" s="20">
        <v>102.6</v>
      </c>
      <c r="D270" s="20">
        <v>102.5</v>
      </c>
      <c r="E270" s="20">
        <v>102.3</v>
      </c>
      <c r="F270" s="20">
        <v>103</v>
      </c>
      <c r="G270" s="20">
        <v>101.7</v>
      </c>
      <c r="H270" s="20">
        <v>104.6</v>
      </c>
      <c r="I270" s="20">
        <v>102.5</v>
      </c>
      <c r="J270" s="187">
        <v>102.8</v>
      </c>
      <c r="K270" s="20">
        <v>2.6</v>
      </c>
      <c r="L270" s="20">
        <v>2.2000000000000002</v>
      </c>
      <c r="M270" s="20">
        <v>2</v>
      </c>
      <c r="N270" s="20">
        <v>2.1</v>
      </c>
      <c r="O270" s="20">
        <v>2.5</v>
      </c>
      <c r="P270" s="20">
        <v>1.8</v>
      </c>
      <c r="Q270" s="20">
        <v>3.9</v>
      </c>
      <c r="R270" s="20">
        <v>2.2000000000000002</v>
      </c>
      <c r="S270" s="20">
        <v>2.4</v>
      </c>
      <c r="T270" s="20">
        <v>0.4</v>
      </c>
      <c r="U270" s="20">
        <v>0.2</v>
      </c>
      <c r="V270" s="20">
        <v>0.5</v>
      </c>
      <c r="W270" s="20">
        <v>0.2</v>
      </c>
      <c r="X270" s="20">
        <v>0.6</v>
      </c>
      <c r="Y270" s="20">
        <v>0.4</v>
      </c>
      <c r="Z270" s="20">
        <v>0.9</v>
      </c>
      <c r="AA270" s="20">
        <v>0.6</v>
      </c>
      <c r="AB270" s="20">
        <v>0.4</v>
      </c>
    </row>
    <row r="271" spans="1:28" x14ac:dyDescent="0.2">
      <c r="A271" s="22">
        <v>41518</v>
      </c>
      <c r="B271" s="20">
        <v>104.3</v>
      </c>
      <c r="C271" s="20">
        <v>104</v>
      </c>
      <c r="D271" s="20">
        <v>103.8</v>
      </c>
      <c r="E271" s="20">
        <v>103.7</v>
      </c>
      <c r="F271" s="20">
        <v>104.2</v>
      </c>
      <c r="G271" s="20">
        <v>102.6</v>
      </c>
      <c r="H271" s="20">
        <v>105.5</v>
      </c>
      <c r="I271" s="20">
        <v>103.1</v>
      </c>
      <c r="J271" s="187">
        <v>104</v>
      </c>
      <c r="K271" s="20">
        <v>2.1</v>
      </c>
      <c r="L271" s="20">
        <v>2.4</v>
      </c>
      <c r="M271" s="20">
        <v>2.2000000000000002</v>
      </c>
      <c r="N271" s="20">
        <v>2</v>
      </c>
      <c r="O271" s="20">
        <v>2.6</v>
      </c>
      <c r="P271" s="20">
        <v>2</v>
      </c>
      <c r="Q271" s="20">
        <v>3.4</v>
      </c>
      <c r="R271" s="20">
        <v>1.7</v>
      </c>
      <c r="S271" s="20">
        <v>2.2000000000000002</v>
      </c>
      <c r="T271" s="20">
        <v>1.2</v>
      </c>
      <c r="U271" s="20">
        <v>1.4</v>
      </c>
      <c r="V271" s="20">
        <v>1.3</v>
      </c>
      <c r="W271" s="20">
        <v>1.4</v>
      </c>
      <c r="X271" s="20">
        <v>1.2</v>
      </c>
      <c r="Y271" s="20">
        <v>0.9</v>
      </c>
      <c r="Z271" s="20">
        <v>0.9</v>
      </c>
      <c r="AA271" s="20">
        <v>0.6</v>
      </c>
      <c r="AB271" s="20">
        <v>1.2</v>
      </c>
    </row>
    <row r="272" spans="1:28" x14ac:dyDescent="0.2">
      <c r="A272" s="22">
        <v>41609</v>
      </c>
      <c r="B272" s="20">
        <v>105</v>
      </c>
      <c r="C272" s="20">
        <v>104.8</v>
      </c>
      <c r="D272" s="20">
        <v>104.6</v>
      </c>
      <c r="E272" s="20">
        <v>104.4</v>
      </c>
      <c r="F272" s="20">
        <v>104.9</v>
      </c>
      <c r="G272" s="20">
        <v>103.6</v>
      </c>
      <c r="H272" s="20">
        <v>106.5</v>
      </c>
      <c r="I272" s="20">
        <v>104.1</v>
      </c>
      <c r="J272" s="187">
        <v>104.8</v>
      </c>
      <c r="K272" s="20">
        <v>2.6</v>
      </c>
      <c r="L272" s="20">
        <v>2.7</v>
      </c>
      <c r="M272" s="20">
        <v>2.6</v>
      </c>
      <c r="N272" s="20">
        <v>2.2999999999999998</v>
      </c>
      <c r="O272" s="20">
        <v>2.9</v>
      </c>
      <c r="P272" s="20">
        <v>2.6</v>
      </c>
      <c r="Q272" s="20">
        <v>4.4000000000000004</v>
      </c>
      <c r="R272" s="20">
        <v>2.2999999999999998</v>
      </c>
      <c r="S272" s="20">
        <v>2.7</v>
      </c>
      <c r="T272" s="20">
        <v>0.7</v>
      </c>
      <c r="U272" s="20">
        <v>0.8</v>
      </c>
      <c r="V272" s="20">
        <v>0.8</v>
      </c>
      <c r="W272" s="20">
        <v>0.7</v>
      </c>
      <c r="X272" s="20">
        <v>0.7</v>
      </c>
      <c r="Y272" s="20">
        <v>1</v>
      </c>
      <c r="Z272" s="20">
        <v>0.9</v>
      </c>
      <c r="AA272" s="20">
        <v>1</v>
      </c>
      <c r="AB272" s="20">
        <v>0.8</v>
      </c>
    </row>
    <row r="273" spans="1:28" x14ac:dyDescent="0.2">
      <c r="A273" s="22">
        <v>41699</v>
      </c>
      <c r="B273" s="20">
        <v>105.6</v>
      </c>
      <c r="C273" s="20">
        <v>105.3</v>
      </c>
      <c r="D273" s="20">
        <v>105.2</v>
      </c>
      <c r="E273" s="20">
        <v>105.1</v>
      </c>
      <c r="F273" s="20">
        <v>105.6</v>
      </c>
      <c r="G273" s="20">
        <v>104.1</v>
      </c>
      <c r="H273" s="20">
        <v>107.4</v>
      </c>
      <c r="I273" s="20">
        <v>104.6</v>
      </c>
      <c r="J273" s="187">
        <v>105.4</v>
      </c>
      <c r="K273" s="20">
        <v>2.8</v>
      </c>
      <c r="L273" s="20">
        <v>2.8</v>
      </c>
      <c r="M273" s="20">
        <v>3.1</v>
      </c>
      <c r="N273" s="20">
        <v>2.9</v>
      </c>
      <c r="O273" s="20">
        <v>3.1</v>
      </c>
      <c r="P273" s="20">
        <v>2.8</v>
      </c>
      <c r="Q273" s="20">
        <v>3.6</v>
      </c>
      <c r="R273" s="20">
        <v>2.6</v>
      </c>
      <c r="S273" s="20">
        <v>2.9</v>
      </c>
      <c r="T273" s="20">
        <v>0.6</v>
      </c>
      <c r="U273" s="20">
        <v>0.5</v>
      </c>
      <c r="V273" s="20">
        <v>0.6</v>
      </c>
      <c r="W273" s="20">
        <v>0.7</v>
      </c>
      <c r="X273" s="20">
        <v>0.7</v>
      </c>
      <c r="Y273" s="20">
        <v>0.5</v>
      </c>
      <c r="Z273" s="20">
        <v>0.8</v>
      </c>
      <c r="AA273" s="20">
        <v>0.5</v>
      </c>
      <c r="AB273" s="20">
        <v>0.6</v>
      </c>
    </row>
    <row r="274" spans="1:28" x14ac:dyDescent="0.2">
      <c r="A274" s="22">
        <v>41791</v>
      </c>
      <c r="B274" s="20">
        <v>106</v>
      </c>
      <c r="C274" s="20">
        <v>105.9</v>
      </c>
      <c r="D274" s="20">
        <v>105.8</v>
      </c>
      <c r="E274" s="20">
        <v>105.5</v>
      </c>
      <c r="F274" s="20">
        <v>106.4</v>
      </c>
      <c r="G274" s="20">
        <v>104.5</v>
      </c>
      <c r="H274" s="20">
        <v>108.1</v>
      </c>
      <c r="I274" s="20">
        <v>104.8</v>
      </c>
      <c r="J274" s="187">
        <v>105.9</v>
      </c>
      <c r="K274" s="20">
        <v>2.8</v>
      </c>
      <c r="L274" s="20">
        <v>3.2</v>
      </c>
      <c r="M274" s="20">
        <v>3.2</v>
      </c>
      <c r="N274" s="20">
        <v>3.1</v>
      </c>
      <c r="O274" s="20">
        <v>3.3</v>
      </c>
      <c r="P274" s="20">
        <v>2.8</v>
      </c>
      <c r="Q274" s="20">
        <v>3.3</v>
      </c>
      <c r="R274" s="20">
        <v>2.2000000000000002</v>
      </c>
      <c r="S274" s="20">
        <v>3</v>
      </c>
      <c r="T274" s="20">
        <v>0.4</v>
      </c>
      <c r="U274" s="20">
        <v>0.6</v>
      </c>
      <c r="V274" s="20">
        <v>0.6</v>
      </c>
      <c r="W274" s="20">
        <v>0.4</v>
      </c>
      <c r="X274" s="20">
        <v>0.8</v>
      </c>
      <c r="Y274" s="20">
        <v>0.4</v>
      </c>
      <c r="Z274" s="20">
        <v>0.7</v>
      </c>
      <c r="AA274" s="20">
        <v>0.2</v>
      </c>
      <c r="AB274" s="20">
        <v>0.5</v>
      </c>
    </row>
    <row r="275" spans="1:28" x14ac:dyDescent="0.2">
      <c r="A275" s="22">
        <v>41883</v>
      </c>
      <c r="B275" s="20">
        <v>106.6</v>
      </c>
      <c r="C275" s="20">
        <v>106.1</v>
      </c>
      <c r="D275" s="20">
        <v>106.5</v>
      </c>
      <c r="E275" s="20">
        <v>105.9</v>
      </c>
      <c r="F275" s="20">
        <v>106.9</v>
      </c>
      <c r="G275" s="20">
        <v>104.6</v>
      </c>
      <c r="H275" s="20">
        <v>108.3</v>
      </c>
      <c r="I275" s="20">
        <v>105.2</v>
      </c>
      <c r="J275" s="187">
        <v>106.4</v>
      </c>
      <c r="K275" s="20">
        <v>2.2000000000000002</v>
      </c>
      <c r="L275" s="20">
        <v>2</v>
      </c>
      <c r="M275" s="20">
        <v>2.6</v>
      </c>
      <c r="N275" s="20">
        <v>2.1</v>
      </c>
      <c r="O275" s="20">
        <v>2.6</v>
      </c>
      <c r="P275" s="20">
        <v>1.9</v>
      </c>
      <c r="Q275" s="20">
        <v>2.7</v>
      </c>
      <c r="R275" s="20">
        <v>2</v>
      </c>
      <c r="S275" s="20">
        <v>2.2999999999999998</v>
      </c>
      <c r="T275" s="20">
        <v>0.6</v>
      </c>
      <c r="U275" s="20">
        <v>0.2</v>
      </c>
      <c r="V275" s="20">
        <v>0.7</v>
      </c>
      <c r="W275" s="20">
        <v>0.4</v>
      </c>
      <c r="X275" s="20">
        <v>0.5</v>
      </c>
      <c r="Y275" s="20">
        <v>0.1</v>
      </c>
      <c r="Z275" s="20">
        <v>0.2</v>
      </c>
      <c r="AA275" s="20">
        <v>0.4</v>
      </c>
      <c r="AB275" s="20">
        <v>0.5</v>
      </c>
    </row>
    <row r="276" spans="1:28" x14ac:dyDescent="0.2">
      <c r="A276" s="22">
        <v>41974</v>
      </c>
      <c r="B276" s="20">
        <v>106.8</v>
      </c>
      <c r="C276" s="20">
        <v>106.3</v>
      </c>
      <c r="D276" s="20">
        <v>106.7</v>
      </c>
      <c r="E276" s="20">
        <v>106.2</v>
      </c>
      <c r="F276" s="20">
        <v>107</v>
      </c>
      <c r="G276" s="20">
        <v>104.7</v>
      </c>
      <c r="H276" s="20">
        <v>108.5</v>
      </c>
      <c r="I276" s="20">
        <v>105.3</v>
      </c>
      <c r="J276" s="187">
        <v>106.6</v>
      </c>
      <c r="K276" s="20">
        <v>1.7</v>
      </c>
      <c r="L276" s="20">
        <v>1.4</v>
      </c>
      <c r="M276" s="20">
        <v>2</v>
      </c>
      <c r="N276" s="20">
        <v>1.7</v>
      </c>
      <c r="O276" s="20">
        <v>2</v>
      </c>
      <c r="P276" s="20">
        <v>1.1000000000000001</v>
      </c>
      <c r="Q276" s="20">
        <v>1.9</v>
      </c>
      <c r="R276" s="20">
        <v>1.2</v>
      </c>
      <c r="S276" s="20">
        <v>1.7</v>
      </c>
      <c r="T276" s="20">
        <v>0.2</v>
      </c>
      <c r="U276" s="20">
        <v>0.2</v>
      </c>
      <c r="V276" s="20">
        <v>0.2</v>
      </c>
      <c r="W276" s="20">
        <v>0.3</v>
      </c>
      <c r="X276" s="20">
        <v>0.1</v>
      </c>
      <c r="Y276" s="20">
        <v>0.1</v>
      </c>
      <c r="Z276" s="20">
        <v>0.2</v>
      </c>
      <c r="AA276" s="20">
        <v>0.1</v>
      </c>
      <c r="AB276" s="20">
        <v>0.2</v>
      </c>
    </row>
    <row r="277" spans="1:28" x14ac:dyDescent="0.2">
      <c r="A277" s="22">
        <v>42064</v>
      </c>
      <c r="B277" s="20">
        <v>107.3</v>
      </c>
      <c r="C277" s="20">
        <v>106.4</v>
      </c>
      <c r="D277" s="20">
        <v>106.7</v>
      </c>
      <c r="E277" s="20">
        <v>106.3</v>
      </c>
      <c r="F277" s="20">
        <v>107.1</v>
      </c>
      <c r="G277" s="20">
        <v>105</v>
      </c>
      <c r="H277" s="20">
        <v>108.3</v>
      </c>
      <c r="I277" s="20">
        <v>105.2</v>
      </c>
      <c r="J277" s="187">
        <v>106.8</v>
      </c>
      <c r="K277" s="20">
        <v>1.6</v>
      </c>
      <c r="L277" s="20">
        <v>1</v>
      </c>
      <c r="M277" s="20">
        <v>1.4</v>
      </c>
      <c r="N277" s="20">
        <v>1.1000000000000001</v>
      </c>
      <c r="O277" s="20">
        <v>1.4</v>
      </c>
      <c r="P277" s="20">
        <v>0.9</v>
      </c>
      <c r="Q277" s="20">
        <v>0.8</v>
      </c>
      <c r="R277" s="20">
        <v>0.6</v>
      </c>
      <c r="S277" s="20">
        <v>1.3</v>
      </c>
      <c r="T277" s="20">
        <v>0.5</v>
      </c>
      <c r="U277" s="20">
        <v>0.1</v>
      </c>
      <c r="V277" s="20">
        <v>0</v>
      </c>
      <c r="W277" s="20">
        <v>0.1</v>
      </c>
      <c r="X277" s="20">
        <v>0.1</v>
      </c>
      <c r="Y277" s="20">
        <v>0.3</v>
      </c>
      <c r="Z277" s="20">
        <v>-0.2</v>
      </c>
      <c r="AA277" s="20">
        <v>-0.1</v>
      </c>
      <c r="AB277" s="20">
        <v>0.2</v>
      </c>
    </row>
    <row r="278" spans="1:28" x14ac:dyDescent="0.2">
      <c r="A278" s="22">
        <v>42156</v>
      </c>
      <c r="B278" s="20">
        <v>108.3</v>
      </c>
      <c r="C278" s="20">
        <v>107.1</v>
      </c>
      <c r="D278" s="20">
        <v>107.4</v>
      </c>
      <c r="E278" s="20">
        <v>106.8</v>
      </c>
      <c r="F278" s="20">
        <v>107.7</v>
      </c>
      <c r="G278" s="20">
        <v>105.1</v>
      </c>
      <c r="H278" s="20">
        <v>108.3</v>
      </c>
      <c r="I278" s="20">
        <v>105.6</v>
      </c>
      <c r="J278" s="187">
        <v>107.5</v>
      </c>
      <c r="K278" s="20">
        <v>2.2000000000000002</v>
      </c>
      <c r="L278" s="20">
        <v>1.1000000000000001</v>
      </c>
      <c r="M278" s="20">
        <v>1.5</v>
      </c>
      <c r="N278" s="20">
        <v>1.2</v>
      </c>
      <c r="O278" s="20">
        <v>1.2</v>
      </c>
      <c r="P278" s="20">
        <v>0.6</v>
      </c>
      <c r="Q278" s="20">
        <v>0.2</v>
      </c>
      <c r="R278" s="20">
        <v>0.8</v>
      </c>
      <c r="S278" s="20">
        <v>1.5</v>
      </c>
      <c r="T278" s="20">
        <v>0.9</v>
      </c>
      <c r="U278" s="20">
        <v>0.7</v>
      </c>
      <c r="V278" s="20">
        <v>0.7</v>
      </c>
      <c r="W278" s="20">
        <v>0.5</v>
      </c>
      <c r="X278" s="20">
        <v>0.6</v>
      </c>
      <c r="Y278" s="20">
        <v>0.1</v>
      </c>
      <c r="Z278" s="20">
        <v>0</v>
      </c>
      <c r="AA278" s="20">
        <v>0.4</v>
      </c>
      <c r="AB278" s="20">
        <v>0.7</v>
      </c>
    </row>
    <row r="279" spans="1:28" x14ac:dyDescent="0.2">
      <c r="A279" s="22">
        <v>42248</v>
      </c>
      <c r="B279" s="20">
        <v>108.6</v>
      </c>
      <c r="C279" s="20">
        <v>107.6</v>
      </c>
      <c r="D279" s="20">
        <v>108.1</v>
      </c>
      <c r="E279" s="20">
        <v>107.1</v>
      </c>
      <c r="F279" s="20">
        <v>108.1</v>
      </c>
      <c r="G279" s="20">
        <v>105.7</v>
      </c>
      <c r="H279" s="20">
        <v>108.7</v>
      </c>
      <c r="I279" s="20">
        <v>105.8</v>
      </c>
      <c r="J279" s="187">
        <v>108</v>
      </c>
      <c r="K279" s="20">
        <v>1.9</v>
      </c>
      <c r="L279" s="20">
        <v>1.4</v>
      </c>
      <c r="M279" s="20">
        <v>1.5</v>
      </c>
      <c r="N279" s="20">
        <v>1.1000000000000001</v>
      </c>
      <c r="O279" s="20">
        <v>1.1000000000000001</v>
      </c>
      <c r="P279" s="20">
        <v>1.1000000000000001</v>
      </c>
      <c r="Q279" s="20">
        <v>0.4</v>
      </c>
      <c r="R279" s="20">
        <v>0.6</v>
      </c>
      <c r="S279" s="20">
        <v>1.5</v>
      </c>
      <c r="T279" s="20">
        <v>0.3</v>
      </c>
      <c r="U279" s="20">
        <v>0.5</v>
      </c>
      <c r="V279" s="20">
        <v>0.7</v>
      </c>
      <c r="W279" s="20">
        <v>0.3</v>
      </c>
      <c r="X279" s="20">
        <v>0.4</v>
      </c>
      <c r="Y279" s="20">
        <v>0.6</v>
      </c>
      <c r="Z279" s="20">
        <v>0.4</v>
      </c>
      <c r="AA279" s="20">
        <v>0.2</v>
      </c>
      <c r="AB279" s="20">
        <v>0.5</v>
      </c>
    </row>
    <row r="280" spans="1:28" x14ac:dyDescent="0.2">
      <c r="A280" s="22">
        <v>42339</v>
      </c>
      <c r="B280" s="20">
        <v>108.9</v>
      </c>
      <c r="C280" s="20">
        <v>108.3</v>
      </c>
      <c r="D280" s="20">
        <v>108.5</v>
      </c>
      <c r="E280" s="20">
        <v>107.3</v>
      </c>
      <c r="F280" s="20">
        <v>108.6</v>
      </c>
      <c r="G280" s="20">
        <v>106.6</v>
      </c>
      <c r="H280" s="20">
        <v>109</v>
      </c>
      <c r="I280" s="20">
        <v>106</v>
      </c>
      <c r="J280" s="187">
        <v>108.4</v>
      </c>
      <c r="K280" s="20">
        <v>2</v>
      </c>
      <c r="L280" s="20">
        <v>1.9</v>
      </c>
      <c r="M280" s="20">
        <v>1.7</v>
      </c>
      <c r="N280" s="20">
        <v>1</v>
      </c>
      <c r="O280" s="20">
        <v>1.5</v>
      </c>
      <c r="P280" s="20">
        <v>1.8</v>
      </c>
      <c r="Q280" s="20">
        <v>0.5</v>
      </c>
      <c r="R280" s="20">
        <v>0.7</v>
      </c>
      <c r="S280" s="20">
        <v>1.7</v>
      </c>
      <c r="T280" s="20">
        <v>0.3</v>
      </c>
      <c r="U280" s="20">
        <v>0.7</v>
      </c>
      <c r="V280" s="20">
        <v>0.4</v>
      </c>
      <c r="W280" s="20">
        <v>0.2</v>
      </c>
      <c r="X280" s="20">
        <v>0.5</v>
      </c>
      <c r="Y280" s="20">
        <v>0.9</v>
      </c>
      <c r="Z280" s="20">
        <v>0.3</v>
      </c>
      <c r="AA280" s="20">
        <v>0.2</v>
      </c>
      <c r="AB280" s="20">
        <v>0.4</v>
      </c>
    </row>
    <row r="281" spans="1:28" x14ac:dyDescent="0.2">
      <c r="A281" s="22">
        <v>42430</v>
      </c>
      <c r="B281" s="20">
        <v>108.7</v>
      </c>
      <c r="C281" s="20">
        <v>108.2</v>
      </c>
      <c r="D281" s="20">
        <v>108.5</v>
      </c>
      <c r="E281" s="20">
        <v>107</v>
      </c>
      <c r="F281" s="20">
        <v>107.9</v>
      </c>
      <c r="G281" s="20">
        <v>106.4</v>
      </c>
      <c r="H281" s="20">
        <v>108</v>
      </c>
      <c r="I281" s="20">
        <v>106.2</v>
      </c>
      <c r="J281" s="187">
        <v>108.2</v>
      </c>
      <c r="K281" s="20">
        <v>1.3</v>
      </c>
      <c r="L281" s="20">
        <v>1.7</v>
      </c>
      <c r="M281" s="20">
        <v>1.7</v>
      </c>
      <c r="N281" s="20">
        <v>0.7</v>
      </c>
      <c r="O281" s="20">
        <v>0.7</v>
      </c>
      <c r="P281" s="20">
        <v>1.3</v>
      </c>
      <c r="Q281" s="20">
        <v>-0.3</v>
      </c>
      <c r="R281" s="20">
        <v>1</v>
      </c>
      <c r="S281" s="20">
        <v>1.3</v>
      </c>
      <c r="T281" s="20">
        <v>-0.2</v>
      </c>
      <c r="U281" s="20">
        <v>-0.1</v>
      </c>
      <c r="V281" s="20">
        <v>0</v>
      </c>
      <c r="W281" s="20">
        <v>-0.3</v>
      </c>
      <c r="X281" s="20">
        <v>-0.6</v>
      </c>
      <c r="Y281" s="20">
        <v>-0.2</v>
      </c>
      <c r="Z281" s="20">
        <v>-0.9</v>
      </c>
      <c r="AA281" s="20">
        <v>0.2</v>
      </c>
      <c r="AB281" s="20">
        <v>-0.2</v>
      </c>
    </row>
    <row r="282" spans="1:28" x14ac:dyDescent="0.2">
      <c r="A282" s="22">
        <v>42522</v>
      </c>
      <c r="B282" s="20">
        <v>109.3</v>
      </c>
      <c r="C282" s="20">
        <v>108.6</v>
      </c>
      <c r="D282" s="20">
        <v>109</v>
      </c>
      <c r="E282" s="20">
        <v>107.5</v>
      </c>
      <c r="F282" s="20">
        <v>108.2</v>
      </c>
      <c r="G282" s="20">
        <v>106.4</v>
      </c>
      <c r="H282" s="20">
        <v>108.3</v>
      </c>
      <c r="I282" s="20">
        <v>106.4</v>
      </c>
      <c r="J282" s="187">
        <v>108.6</v>
      </c>
      <c r="K282" s="20">
        <v>0.9</v>
      </c>
      <c r="L282" s="20">
        <v>1.4</v>
      </c>
      <c r="M282" s="20">
        <v>1.5</v>
      </c>
      <c r="N282" s="20">
        <v>0.7</v>
      </c>
      <c r="O282" s="20">
        <v>0.5</v>
      </c>
      <c r="P282" s="20">
        <v>1.2</v>
      </c>
      <c r="Q282" s="20">
        <v>0</v>
      </c>
      <c r="R282" s="20">
        <v>0.8</v>
      </c>
      <c r="S282" s="20">
        <v>1</v>
      </c>
      <c r="T282" s="20">
        <v>0.6</v>
      </c>
      <c r="U282" s="20">
        <v>0.4</v>
      </c>
      <c r="V282" s="20">
        <v>0.5</v>
      </c>
      <c r="W282" s="20">
        <v>0.5</v>
      </c>
      <c r="X282" s="20">
        <v>0.3</v>
      </c>
      <c r="Y282" s="20">
        <v>0</v>
      </c>
      <c r="Z282" s="20">
        <v>0.3</v>
      </c>
      <c r="AA282" s="20">
        <v>0.2</v>
      </c>
      <c r="AB282" s="20">
        <v>0.4</v>
      </c>
    </row>
    <row r="283" spans="1:28" x14ac:dyDescent="0.2">
      <c r="A283" s="22">
        <v>42614</v>
      </c>
      <c r="B283" s="20">
        <v>110.4</v>
      </c>
      <c r="C283" s="20">
        <v>109.1</v>
      </c>
      <c r="D283" s="20">
        <v>109.7</v>
      </c>
      <c r="E283" s="20">
        <v>108.4</v>
      </c>
      <c r="F283" s="20">
        <v>108.6</v>
      </c>
      <c r="G283" s="20">
        <v>107.1</v>
      </c>
      <c r="H283" s="20">
        <v>108.7</v>
      </c>
      <c r="I283" s="20">
        <v>107.3</v>
      </c>
      <c r="J283" s="187">
        <v>109.4</v>
      </c>
      <c r="K283" s="20">
        <v>1.7</v>
      </c>
      <c r="L283" s="20">
        <v>1.4</v>
      </c>
      <c r="M283" s="20">
        <v>1.5</v>
      </c>
      <c r="N283" s="20">
        <v>1.2</v>
      </c>
      <c r="O283" s="20">
        <v>0.5</v>
      </c>
      <c r="P283" s="20">
        <v>1.3</v>
      </c>
      <c r="Q283" s="20">
        <v>0</v>
      </c>
      <c r="R283" s="20">
        <v>1.4</v>
      </c>
      <c r="S283" s="20">
        <v>1.3</v>
      </c>
      <c r="T283" s="20">
        <v>1</v>
      </c>
      <c r="U283" s="20">
        <v>0.5</v>
      </c>
      <c r="V283" s="20">
        <v>0.6</v>
      </c>
      <c r="W283" s="20">
        <v>0.8</v>
      </c>
      <c r="X283" s="20">
        <v>0.4</v>
      </c>
      <c r="Y283" s="20">
        <v>0.7</v>
      </c>
      <c r="Z283" s="20">
        <v>0.4</v>
      </c>
      <c r="AA283" s="20">
        <v>0.8</v>
      </c>
      <c r="AB283" s="20">
        <v>0.7</v>
      </c>
    </row>
    <row r="284" spans="1:28" x14ac:dyDescent="0.2">
      <c r="A284" s="22">
        <v>42705</v>
      </c>
      <c r="B284" s="20">
        <v>110.9</v>
      </c>
      <c r="C284" s="20">
        <v>109.9</v>
      </c>
      <c r="D284" s="20">
        <v>110.2</v>
      </c>
      <c r="E284" s="20">
        <v>108.7</v>
      </c>
      <c r="F284" s="20">
        <v>109</v>
      </c>
      <c r="G284" s="20">
        <v>108</v>
      </c>
      <c r="H284" s="20">
        <v>108.6</v>
      </c>
      <c r="I284" s="20">
        <v>107.9</v>
      </c>
      <c r="J284" s="187">
        <v>110</v>
      </c>
      <c r="K284" s="20">
        <v>1.8</v>
      </c>
      <c r="L284" s="20">
        <v>1.5</v>
      </c>
      <c r="M284" s="20">
        <v>1.6</v>
      </c>
      <c r="N284" s="20">
        <v>1.3</v>
      </c>
      <c r="O284" s="20">
        <v>0.4</v>
      </c>
      <c r="P284" s="20">
        <v>1.3</v>
      </c>
      <c r="Q284" s="20">
        <v>-0.4</v>
      </c>
      <c r="R284" s="20">
        <v>1.8</v>
      </c>
      <c r="S284" s="20">
        <v>1.5</v>
      </c>
      <c r="T284" s="20">
        <v>0.5</v>
      </c>
      <c r="U284" s="20">
        <v>0.7</v>
      </c>
      <c r="V284" s="20">
        <v>0.5</v>
      </c>
      <c r="W284" s="20">
        <v>0.3</v>
      </c>
      <c r="X284" s="20">
        <v>0.4</v>
      </c>
      <c r="Y284" s="20">
        <v>0.8</v>
      </c>
      <c r="Z284" s="20">
        <v>-0.1</v>
      </c>
      <c r="AA284" s="20">
        <v>0.6</v>
      </c>
      <c r="AB284" s="20">
        <v>0.5</v>
      </c>
    </row>
    <row r="285" spans="1:28" x14ac:dyDescent="0.2">
      <c r="A285" s="22">
        <v>42795</v>
      </c>
      <c r="B285" s="20">
        <v>111.3</v>
      </c>
      <c r="C285" s="20">
        <v>110.9</v>
      </c>
      <c r="D285" s="20">
        <v>110.5</v>
      </c>
      <c r="E285" s="20">
        <v>109.1</v>
      </c>
      <c r="F285" s="20">
        <v>109</v>
      </c>
      <c r="G285" s="20">
        <v>108.9</v>
      </c>
      <c r="H285" s="20">
        <v>108.5</v>
      </c>
      <c r="I285" s="20">
        <v>108.6</v>
      </c>
      <c r="J285" s="187">
        <v>110.5</v>
      </c>
      <c r="K285" s="20">
        <v>2.4</v>
      </c>
      <c r="L285" s="20">
        <v>2.5</v>
      </c>
      <c r="M285" s="20">
        <v>1.8</v>
      </c>
      <c r="N285" s="20">
        <v>2</v>
      </c>
      <c r="O285" s="20">
        <v>1</v>
      </c>
      <c r="P285" s="20">
        <v>2.2999999999999998</v>
      </c>
      <c r="Q285" s="20">
        <v>0.5</v>
      </c>
      <c r="R285" s="20">
        <v>2.2999999999999998</v>
      </c>
      <c r="S285" s="20">
        <v>2.1</v>
      </c>
      <c r="T285" s="20">
        <v>0.4</v>
      </c>
      <c r="U285" s="20">
        <v>0.9</v>
      </c>
      <c r="V285" s="20">
        <v>0.3</v>
      </c>
      <c r="W285" s="20">
        <v>0.4</v>
      </c>
      <c r="X285" s="20">
        <v>0</v>
      </c>
      <c r="Y285" s="20">
        <v>0.8</v>
      </c>
      <c r="Z285" s="20">
        <v>-0.1</v>
      </c>
      <c r="AA285" s="20">
        <v>0.6</v>
      </c>
      <c r="AB285" s="20">
        <v>0.5</v>
      </c>
    </row>
    <row r="286" spans="1:28" x14ac:dyDescent="0.2">
      <c r="A286" s="22">
        <v>42887</v>
      </c>
      <c r="B286" s="20">
        <v>111.7</v>
      </c>
      <c r="C286" s="20">
        <v>111</v>
      </c>
      <c r="D286" s="20">
        <v>111</v>
      </c>
      <c r="E286" s="20">
        <v>109.2</v>
      </c>
      <c r="F286" s="20">
        <v>109</v>
      </c>
      <c r="G286" s="20">
        <v>108.9</v>
      </c>
      <c r="H286" s="20">
        <v>108.8</v>
      </c>
      <c r="I286" s="20">
        <v>108.6</v>
      </c>
      <c r="J286" s="187">
        <v>110.7</v>
      </c>
      <c r="K286" s="20">
        <v>2.2000000000000002</v>
      </c>
      <c r="L286" s="20">
        <v>2.2000000000000002</v>
      </c>
      <c r="M286" s="20">
        <v>1.8</v>
      </c>
      <c r="N286" s="20">
        <v>1.6</v>
      </c>
      <c r="O286" s="20">
        <v>0.7</v>
      </c>
      <c r="P286" s="20">
        <v>2.2999999999999998</v>
      </c>
      <c r="Q286" s="20">
        <v>0.5</v>
      </c>
      <c r="R286" s="20">
        <v>2.1</v>
      </c>
      <c r="S286" s="20">
        <v>1.9</v>
      </c>
      <c r="T286" s="20">
        <v>0.4</v>
      </c>
      <c r="U286" s="20">
        <v>0.1</v>
      </c>
      <c r="V286" s="20">
        <v>0.5</v>
      </c>
      <c r="W286" s="20">
        <v>0.1</v>
      </c>
      <c r="X286" s="20">
        <v>0</v>
      </c>
      <c r="Y286" s="20">
        <v>0</v>
      </c>
      <c r="Z286" s="20">
        <v>0.3</v>
      </c>
      <c r="AA286" s="20">
        <v>0</v>
      </c>
      <c r="AB286" s="20">
        <v>0.2</v>
      </c>
    </row>
    <row r="287" spans="1:28" x14ac:dyDescent="0.2">
      <c r="A287" s="22">
        <v>42979</v>
      </c>
      <c r="B287" s="20">
        <v>112.5</v>
      </c>
      <c r="C287" s="20">
        <v>111.5</v>
      </c>
      <c r="D287" s="20">
        <v>111.4</v>
      </c>
      <c r="E287" s="20">
        <v>110.4</v>
      </c>
      <c r="F287" s="20">
        <v>109.5</v>
      </c>
      <c r="G287" s="20">
        <v>109.2</v>
      </c>
      <c r="H287" s="20">
        <v>109.4</v>
      </c>
      <c r="I287" s="20">
        <v>109.6</v>
      </c>
      <c r="J287" s="187">
        <v>111.4</v>
      </c>
      <c r="K287" s="20">
        <v>1.9</v>
      </c>
      <c r="L287" s="20">
        <v>2.2000000000000002</v>
      </c>
      <c r="M287" s="20">
        <v>1.5</v>
      </c>
      <c r="N287" s="20">
        <v>1.8</v>
      </c>
      <c r="O287" s="20">
        <v>0.8</v>
      </c>
      <c r="P287" s="20">
        <v>2</v>
      </c>
      <c r="Q287" s="20">
        <v>0.6</v>
      </c>
      <c r="R287" s="20">
        <v>2.1</v>
      </c>
      <c r="S287" s="20">
        <v>1.8</v>
      </c>
      <c r="T287" s="20">
        <v>0.7</v>
      </c>
      <c r="U287" s="20">
        <v>0.5</v>
      </c>
      <c r="V287" s="20">
        <v>0.4</v>
      </c>
      <c r="W287" s="20">
        <v>1.1000000000000001</v>
      </c>
      <c r="X287" s="20">
        <v>0.5</v>
      </c>
      <c r="Y287" s="20">
        <v>0.3</v>
      </c>
      <c r="Z287" s="20">
        <v>0.6</v>
      </c>
      <c r="AA287" s="20">
        <v>0.9</v>
      </c>
      <c r="AB287" s="20">
        <v>0.6</v>
      </c>
    </row>
    <row r="288" spans="1:28" x14ac:dyDescent="0.2">
      <c r="A288" s="22">
        <v>43070</v>
      </c>
      <c r="B288" s="20">
        <v>113.3</v>
      </c>
      <c r="C288" s="20">
        <v>112.3</v>
      </c>
      <c r="D288" s="20">
        <v>112.3</v>
      </c>
      <c r="E288" s="20">
        <v>111.2</v>
      </c>
      <c r="F288" s="20">
        <v>109.9</v>
      </c>
      <c r="G288" s="20">
        <v>110.3</v>
      </c>
      <c r="H288" s="20">
        <v>109.7</v>
      </c>
      <c r="I288" s="20">
        <v>110.3</v>
      </c>
      <c r="J288" s="187">
        <v>112.1</v>
      </c>
      <c r="K288" s="20">
        <v>2.2000000000000002</v>
      </c>
      <c r="L288" s="20">
        <v>2.2000000000000002</v>
      </c>
      <c r="M288" s="20">
        <v>1.9</v>
      </c>
      <c r="N288" s="20">
        <v>2.2999999999999998</v>
      </c>
      <c r="O288" s="20">
        <v>0.8</v>
      </c>
      <c r="P288" s="20">
        <v>2.1</v>
      </c>
      <c r="Q288" s="20">
        <v>1</v>
      </c>
      <c r="R288" s="20">
        <v>2.2000000000000002</v>
      </c>
      <c r="S288" s="20">
        <v>1.9</v>
      </c>
      <c r="T288" s="20">
        <v>0.7</v>
      </c>
      <c r="U288" s="20">
        <v>0.7</v>
      </c>
      <c r="V288" s="20">
        <v>0.8</v>
      </c>
      <c r="W288" s="20">
        <v>0.7</v>
      </c>
      <c r="X288" s="20">
        <v>0.4</v>
      </c>
      <c r="Y288" s="20">
        <v>1</v>
      </c>
      <c r="Z288" s="20">
        <v>0.3</v>
      </c>
      <c r="AA288" s="20">
        <v>0.6</v>
      </c>
      <c r="AB288" s="20">
        <v>0.6</v>
      </c>
    </row>
    <row r="289" spans="1:28" x14ac:dyDescent="0.2">
      <c r="A289" s="22">
        <v>43160</v>
      </c>
      <c r="B289" s="20">
        <v>113.6</v>
      </c>
      <c r="C289" s="20">
        <v>113.3</v>
      </c>
      <c r="D289" s="20">
        <v>112.4</v>
      </c>
      <c r="E289" s="20">
        <v>111.6</v>
      </c>
      <c r="F289" s="20">
        <v>110</v>
      </c>
      <c r="G289" s="20">
        <v>111.1</v>
      </c>
      <c r="H289" s="20">
        <v>109.7</v>
      </c>
      <c r="I289" s="20">
        <v>111.2</v>
      </c>
      <c r="J289" s="187">
        <v>112.6</v>
      </c>
      <c r="K289" s="20">
        <v>2.1</v>
      </c>
      <c r="L289" s="20">
        <v>2.2000000000000002</v>
      </c>
      <c r="M289" s="20">
        <v>1.7</v>
      </c>
      <c r="N289" s="20">
        <v>2.2999999999999998</v>
      </c>
      <c r="O289" s="20">
        <v>0.9</v>
      </c>
      <c r="P289" s="20">
        <v>2</v>
      </c>
      <c r="Q289" s="20">
        <v>1.1000000000000001</v>
      </c>
      <c r="R289" s="20">
        <v>2.4</v>
      </c>
      <c r="S289" s="20">
        <v>1.9</v>
      </c>
      <c r="T289" s="20">
        <v>0.3</v>
      </c>
      <c r="U289" s="20">
        <v>0.9</v>
      </c>
      <c r="V289" s="20">
        <v>0.1</v>
      </c>
      <c r="W289" s="20">
        <v>0.4</v>
      </c>
      <c r="X289" s="20">
        <v>0.1</v>
      </c>
      <c r="Y289" s="20">
        <v>0.7</v>
      </c>
      <c r="Z289" s="20">
        <v>0</v>
      </c>
      <c r="AA289" s="20">
        <v>0.8</v>
      </c>
      <c r="AB289" s="20">
        <v>0.4</v>
      </c>
    </row>
    <row r="290" spans="1:28" x14ac:dyDescent="0.2">
      <c r="A290" s="22">
        <v>43252</v>
      </c>
      <c r="B290" s="20">
        <v>114</v>
      </c>
      <c r="C290" s="20">
        <v>113.8</v>
      </c>
      <c r="D290" s="20">
        <v>112.9</v>
      </c>
      <c r="E290" s="20">
        <v>112.1</v>
      </c>
      <c r="F290" s="20">
        <v>110.2</v>
      </c>
      <c r="G290" s="20">
        <v>111.5</v>
      </c>
      <c r="H290" s="20">
        <v>110.1</v>
      </c>
      <c r="I290" s="20">
        <v>111.6</v>
      </c>
      <c r="J290" s="187">
        <v>113</v>
      </c>
      <c r="K290" s="20">
        <v>2.1</v>
      </c>
      <c r="L290" s="20">
        <v>2.5</v>
      </c>
      <c r="M290" s="20">
        <v>1.7</v>
      </c>
      <c r="N290" s="20">
        <v>2.7</v>
      </c>
      <c r="O290" s="20">
        <v>1.1000000000000001</v>
      </c>
      <c r="P290" s="20">
        <v>2.4</v>
      </c>
      <c r="Q290" s="20">
        <v>1.2</v>
      </c>
      <c r="R290" s="20">
        <v>2.8</v>
      </c>
      <c r="S290" s="20">
        <v>2.1</v>
      </c>
      <c r="T290" s="20">
        <v>0.4</v>
      </c>
      <c r="U290" s="20">
        <v>0.4</v>
      </c>
      <c r="V290" s="20">
        <v>0.4</v>
      </c>
      <c r="W290" s="20">
        <v>0.4</v>
      </c>
      <c r="X290" s="20">
        <v>0.2</v>
      </c>
      <c r="Y290" s="20">
        <v>0.4</v>
      </c>
      <c r="Z290" s="20">
        <v>0.4</v>
      </c>
      <c r="AA290" s="20">
        <v>0.4</v>
      </c>
      <c r="AB290" s="20">
        <v>0.4</v>
      </c>
    </row>
    <row r="291" spans="1:28" x14ac:dyDescent="0.2">
      <c r="A291" s="22">
        <v>43344</v>
      </c>
      <c r="B291" s="20">
        <v>114.7</v>
      </c>
      <c r="C291" s="20">
        <v>114</v>
      </c>
      <c r="D291" s="20">
        <v>113.4</v>
      </c>
      <c r="E291" s="20">
        <v>112.4</v>
      </c>
      <c r="F291" s="20">
        <v>110.8</v>
      </c>
      <c r="G291" s="20">
        <v>112.2</v>
      </c>
      <c r="H291" s="20">
        <v>110.8</v>
      </c>
      <c r="I291" s="20">
        <v>112.3</v>
      </c>
      <c r="J291" s="187">
        <v>113.5</v>
      </c>
      <c r="K291" s="20">
        <v>2</v>
      </c>
      <c r="L291" s="20">
        <v>2.2000000000000002</v>
      </c>
      <c r="M291" s="20">
        <v>1.8</v>
      </c>
      <c r="N291" s="20">
        <v>1.8</v>
      </c>
      <c r="O291" s="20">
        <v>1.2</v>
      </c>
      <c r="P291" s="20">
        <v>2.7</v>
      </c>
      <c r="Q291" s="20">
        <v>1.3</v>
      </c>
      <c r="R291" s="20">
        <v>2.5</v>
      </c>
      <c r="S291" s="20">
        <v>1.9</v>
      </c>
      <c r="T291" s="20">
        <v>0.6</v>
      </c>
      <c r="U291" s="20">
        <v>0.2</v>
      </c>
      <c r="V291" s="20">
        <v>0.4</v>
      </c>
      <c r="W291" s="20">
        <v>0.3</v>
      </c>
      <c r="X291" s="20">
        <v>0.5</v>
      </c>
      <c r="Y291" s="20">
        <v>0.6</v>
      </c>
      <c r="Z291" s="20">
        <v>0.6</v>
      </c>
      <c r="AA291" s="20">
        <v>0.6</v>
      </c>
      <c r="AB291" s="20">
        <v>0.4</v>
      </c>
    </row>
    <row r="292" spans="1:28" x14ac:dyDescent="0.2">
      <c r="A292" s="22">
        <v>43435</v>
      </c>
      <c r="B292" s="20">
        <v>115.2</v>
      </c>
      <c r="C292" s="20">
        <v>114.6</v>
      </c>
      <c r="D292" s="20">
        <v>114</v>
      </c>
      <c r="E292" s="20">
        <v>113</v>
      </c>
      <c r="F292" s="20">
        <v>111.3</v>
      </c>
      <c r="G292" s="20">
        <v>113.6</v>
      </c>
      <c r="H292" s="20">
        <v>111</v>
      </c>
      <c r="I292" s="20">
        <v>113.1</v>
      </c>
      <c r="J292" s="187">
        <v>114.1</v>
      </c>
      <c r="K292" s="20">
        <v>1.7</v>
      </c>
      <c r="L292" s="20">
        <v>2</v>
      </c>
      <c r="M292" s="20">
        <v>1.5</v>
      </c>
      <c r="N292" s="20">
        <v>1.6</v>
      </c>
      <c r="O292" s="20">
        <v>1.3</v>
      </c>
      <c r="P292" s="20">
        <v>3</v>
      </c>
      <c r="Q292" s="20">
        <v>1.2</v>
      </c>
      <c r="R292" s="20">
        <v>2.5</v>
      </c>
      <c r="S292" s="20">
        <v>1.8</v>
      </c>
      <c r="T292" s="20">
        <v>0.4</v>
      </c>
      <c r="U292" s="20">
        <v>0.5</v>
      </c>
      <c r="V292" s="20">
        <v>0.5</v>
      </c>
      <c r="W292" s="20">
        <v>0.5</v>
      </c>
      <c r="X292" s="20">
        <v>0.5</v>
      </c>
      <c r="Y292" s="20">
        <v>1.2</v>
      </c>
      <c r="Z292" s="20">
        <v>0.2</v>
      </c>
      <c r="AA292" s="20">
        <v>0.7</v>
      </c>
      <c r="AB292" s="20">
        <v>0.5</v>
      </c>
    </row>
    <row r="293" spans="1:28" x14ac:dyDescent="0.2">
      <c r="A293" s="22">
        <v>43525</v>
      </c>
      <c r="B293" s="20">
        <v>115.1</v>
      </c>
      <c r="C293" s="20">
        <v>114.7</v>
      </c>
      <c r="D293" s="20">
        <v>114.1</v>
      </c>
      <c r="E293" s="20">
        <v>113.1</v>
      </c>
      <c r="F293" s="20">
        <v>111.2</v>
      </c>
      <c r="G293" s="20">
        <v>113.4</v>
      </c>
      <c r="H293" s="20">
        <v>110.1</v>
      </c>
      <c r="I293" s="20">
        <v>113.2</v>
      </c>
      <c r="J293" s="187">
        <v>114.1</v>
      </c>
      <c r="K293" s="20">
        <v>1.3</v>
      </c>
      <c r="L293" s="20">
        <v>1.2</v>
      </c>
      <c r="M293" s="20">
        <v>1.5</v>
      </c>
      <c r="N293" s="20">
        <v>1.3</v>
      </c>
      <c r="O293" s="20">
        <v>1.1000000000000001</v>
      </c>
      <c r="P293" s="20">
        <v>2.1</v>
      </c>
      <c r="Q293" s="20">
        <v>0.4</v>
      </c>
      <c r="R293" s="20">
        <v>1.8</v>
      </c>
      <c r="S293" s="20">
        <v>1.3</v>
      </c>
      <c r="T293" s="20">
        <v>-0.1</v>
      </c>
      <c r="U293" s="20">
        <v>0.1</v>
      </c>
      <c r="V293" s="20">
        <v>0.1</v>
      </c>
      <c r="W293" s="20">
        <v>0.1</v>
      </c>
      <c r="X293" s="20">
        <v>-0.1</v>
      </c>
      <c r="Y293" s="20">
        <v>-0.2</v>
      </c>
      <c r="Z293" s="20">
        <v>-0.8</v>
      </c>
      <c r="AA293" s="20">
        <v>0.1</v>
      </c>
      <c r="AB293" s="20">
        <v>0</v>
      </c>
    </row>
    <row r="294" spans="1:28" x14ac:dyDescent="0.2">
      <c r="A294" s="22">
        <v>43617</v>
      </c>
      <c r="B294" s="20">
        <v>115.9</v>
      </c>
      <c r="C294" s="20">
        <v>115.3</v>
      </c>
      <c r="D294" s="20">
        <v>114.8</v>
      </c>
      <c r="E294" s="20">
        <v>113.7</v>
      </c>
      <c r="F294" s="20">
        <v>112</v>
      </c>
      <c r="G294" s="20">
        <v>114.1</v>
      </c>
      <c r="H294" s="20">
        <v>111</v>
      </c>
      <c r="I294" s="20">
        <v>113.5</v>
      </c>
      <c r="J294" s="187">
        <v>114.8</v>
      </c>
      <c r="K294" s="20">
        <v>1.7</v>
      </c>
      <c r="L294" s="20">
        <v>1.3</v>
      </c>
      <c r="M294" s="20">
        <v>1.7</v>
      </c>
      <c r="N294" s="20">
        <v>1.4</v>
      </c>
      <c r="O294" s="20">
        <v>1.6</v>
      </c>
      <c r="P294" s="20">
        <v>2.2999999999999998</v>
      </c>
      <c r="Q294" s="20">
        <v>0.8</v>
      </c>
      <c r="R294" s="20">
        <v>1.7</v>
      </c>
      <c r="S294" s="20">
        <v>1.6</v>
      </c>
      <c r="T294" s="20">
        <v>0.7</v>
      </c>
      <c r="U294" s="20">
        <v>0.5</v>
      </c>
      <c r="V294" s="20">
        <v>0.6</v>
      </c>
      <c r="W294" s="20">
        <v>0.5</v>
      </c>
      <c r="X294" s="20">
        <v>0.7</v>
      </c>
      <c r="Y294" s="20">
        <v>0.6</v>
      </c>
      <c r="Z294" s="20">
        <v>0.8</v>
      </c>
      <c r="AA294" s="20">
        <v>0.3</v>
      </c>
      <c r="AB294" s="20">
        <v>0.6</v>
      </c>
    </row>
  </sheetData>
  <pageMargins left="0.7" right="0.7" top="0.75" bottom="0.75" header="0.3" footer="0.3"/>
  <pageSetup paperSize="0" orientation="portrait" horizontalDpi="0" verticalDpi="0" copies="0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I19" sqref="I19"/>
    </sheetView>
    <sheetView workbookViewId="1"/>
  </sheetViews>
  <sheetFormatPr defaultRowHeight="15" x14ac:dyDescent="0.25"/>
  <cols>
    <col min="1" max="2" width="9.140625" style="21"/>
    <col min="3" max="3" width="46.85546875" customWidth="1"/>
    <col min="4" max="4" width="12.5703125" customWidth="1"/>
  </cols>
  <sheetData>
    <row r="1" spans="3:15" ht="15.75" customHeight="1" x14ac:dyDescent="0.25">
      <c r="C1" s="207" t="s">
        <v>444</v>
      </c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</row>
    <row r="5" spans="3:15" x14ac:dyDescent="0.25">
      <c r="C5" s="164" t="s">
        <v>113</v>
      </c>
      <c r="D5" s="189" t="s">
        <v>127</v>
      </c>
    </row>
    <row r="6" spans="3:15" x14ac:dyDescent="0.25">
      <c r="C6" s="160" t="s">
        <v>75</v>
      </c>
      <c r="D6" s="161">
        <f>Model!D5</f>
        <v>23400000</v>
      </c>
    </row>
    <row r="7" spans="3:15" x14ac:dyDescent="0.25">
      <c r="C7" s="160" t="s">
        <v>137</v>
      </c>
      <c r="D7" s="161">
        <f>Model!D6</f>
        <v>3451052.2581850812</v>
      </c>
    </row>
    <row r="8" spans="3:15" x14ac:dyDescent="0.25">
      <c r="C8" s="190" t="s">
        <v>136</v>
      </c>
      <c r="D8" s="161">
        <f>Model!D7</f>
        <v>26851052.258185081</v>
      </c>
    </row>
    <row r="9" spans="3:15" x14ac:dyDescent="0.25">
      <c r="C9" s="27"/>
      <c r="D9" s="65"/>
    </row>
    <row r="10" spans="3:15" x14ac:dyDescent="0.25">
      <c r="C10" s="164" t="s">
        <v>76</v>
      </c>
      <c r="D10" s="189" t="s">
        <v>127</v>
      </c>
    </row>
    <row r="11" spans="3:15" x14ac:dyDescent="0.25">
      <c r="C11" s="162" t="s">
        <v>292</v>
      </c>
      <c r="D11" s="161">
        <f>Model!D10</f>
        <v>6978338.3747495534</v>
      </c>
    </row>
    <row r="12" spans="3:15" x14ac:dyDescent="0.25">
      <c r="C12" s="160" t="s">
        <v>109</v>
      </c>
      <c r="D12" s="161">
        <f>Model!D11</f>
        <v>6879649.8125833152</v>
      </c>
    </row>
    <row r="13" spans="3:15" x14ac:dyDescent="0.25">
      <c r="C13" s="160" t="s">
        <v>105</v>
      </c>
      <c r="D13" s="161">
        <f>Model!D12</f>
        <v>0</v>
      </c>
    </row>
    <row r="14" spans="3:15" x14ac:dyDescent="0.25">
      <c r="C14" s="160" t="s">
        <v>77</v>
      </c>
      <c r="D14" s="161">
        <f>Model!D13</f>
        <v>2774928.9301978936</v>
      </c>
    </row>
    <row r="15" spans="3:15" x14ac:dyDescent="0.25">
      <c r="C15" s="160" t="s">
        <v>78</v>
      </c>
      <c r="D15" s="161">
        <f>Model!D14</f>
        <v>0</v>
      </c>
    </row>
    <row r="16" spans="3:15" ht="15" customHeight="1" x14ac:dyDescent="0.25">
      <c r="C16" s="163" t="s">
        <v>447</v>
      </c>
      <c r="D16" s="161">
        <f>Model!D15</f>
        <v>0</v>
      </c>
    </row>
    <row r="17" spans="3:4" x14ac:dyDescent="0.25">
      <c r="C17" s="160" t="s">
        <v>148</v>
      </c>
      <c r="D17" s="161">
        <f>Model!D16</f>
        <v>0</v>
      </c>
    </row>
    <row r="18" spans="3:4" x14ac:dyDescent="0.25">
      <c r="C18" s="190" t="s">
        <v>317</v>
      </c>
      <c r="D18" s="161">
        <f>Model!D17</f>
        <v>16632917.117530763</v>
      </c>
    </row>
    <row r="19" spans="3:4" x14ac:dyDescent="0.25">
      <c r="C19" s="27"/>
      <c r="D19" s="161"/>
    </row>
    <row r="20" spans="3:4" x14ac:dyDescent="0.25">
      <c r="C20" s="165" t="s">
        <v>316</v>
      </c>
      <c r="D20" s="161">
        <f>Model!D19</f>
        <v>-10218135.140654318</v>
      </c>
    </row>
    <row r="21" spans="3:4" x14ac:dyDescent="0.25">
      <c r="C21" s="27"/>
      <c r="D21" s="161"/>
    </row>
    <row r="22" spans="3:4" x14ac:dyDescent="0.25">
      <c r="C22" s="166" t="s">
        <v>446</v>
      </c>
      <c r="D22" s="194">
        <f>Model!D21</f>
        <v>0.61945122141202136</v>
      </c>
    </row>
    <row r="23" spans="3:4" x14ac:dyDescent="0.25">
      <c r="C23" s="41"/>
      <c r="D23" s="41"/>
    </row>
    <row r="24" spans="3:4" x14ac:dyDescent="0.25">
      <c r="C24" s="41"/>
      <c r="D24" s="41"/>
    </row>
    <row r="25" spans="3:4" x14ac:dyDescent="0.25">
      <c r="C25" s="41"/>
      <c r="D25" s="43"/>
    </row>
    <row r="26" spans="3:4" x14ac:dyDescent="0.25">
      <c r="C26" s="41"/>
      <c r="D26" s="43"/>
    </row>
    <row r="27" spans="3:4" x14ac:dyDescent="0.25">
      <c r="C27" s="41"/>
      <c r="D27" s="53"/>
    </row>
    <row r="28" spans="3:4" x14ac:dyDescent="0.25">
      <c r="C28" s="41"/>
      <c r="D28" s="43"/>
    </row>
  </sheetData>
  <mergeCells count="1">
    <mergeCell ref="C1:O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F11" sqref="F11"/>
    </sheetView>
    <sheetView workbookViewId="1">
      <selection sqref="A1:G1"/>
    </sheetView>
  </sheetViews>
  <sheetFormatPr defaultRowHeight="15" x14ac:dyDescent="0.25"/>
  <cols>
    <col min="1" max="2" width="9.140625" style="21"/>
    <col min="3" max="3" width="56.28515625" style="21" bestFit="1" customWidth="1"/>
    <col min="4" max="4" width="56.7109375" style="21" bestFit="1" customWidth="1"/>
    <col min="5" max="5" width="31.42578125" style="21" bestFit="1" customWidth="1"/>
    <col min="6" max="6" width="56" style="21" bestFit="1" customWidth="1"/>
    <col min="7" max="7" width="45.140625" style="21" bestFit="1" customWidth="1"/>
    <col min="8" max="16384" width="9.140625" style="21"/>
  </cols>
  <sheetData>
    <row r="1" spans="1:7" ht="15.75" x14ac:dyDescent="0.25">
      <c r="A1" s="208" t="s">
        <v>445</v>
      </c>
      <c r="B1" s="209"/>
      <c r="C1" s="209"/>
      <c r="D1" s="209"/>
      <c r="E1" s="209"/>
      <c r="F1" s="209"/>
      <c r="G1" s="209"/>
    </row>
    <row r="5" spans="1:7" x14ac:dyDescent="0.25">
      <c r="C5" s="213" t="s">
        <v>202</v>
      </c>
      <c r="D5" s="213"/>
      <c r="E5" s="214" t="s">
        <v>203</v>
      </c>
      <c r="F5" s="215" t="s">
        <v>204</v>
      </c>
      <c r="G5" s="215"/>
    </row>
    <row r="6" spans="1:7" x14ac:dyDescent="0.25">
      <c r="C6" s="213"/>
      <c r="D6" s="213"/>
      <c r="E6" s="214"/>
      <c r="F6" s="172" t="s">
        <v>205</v>
      </c>
      <c r="G6" s="173" t="s">
        <v>206</v>
      </c>
    </row>
    <row r="7" spans="1:7" x14ac:dyDescent="0.25">
      <c r="C7" s="210" t="s">
        <v>109</v>
      </c>
      <c r="D7" s="70" t="s">
        <v>207</v>
      </c>
      <c r="E7" s="71">
        <f>IFERROR(Model!$AJ$56/Model!$D$193,"")</f>
        <v>3.4194072402079492</v>
      </c>
      <c r="F7" s="71">
        <f>IFERROR((Model!$O$56+Model!$O$75)/Model!$D$193,"")</f>
        <v>0.12505332428309104</v>
      </c>
      <c r="G7" s="195">
        <f>IFERROR(F7/$F$29,"")</f>
        <v>0.19692975133189874</v>
      </c>
    </row>
    <row r="8" spans="1:7" x14ac:dyDescent="0.25">
      <c r="C8" s="211"/>
      <c r="D8" s="70" t="s">
        <v>208</v>
      </c>
      <c r="E8" s="71">
        <f>IFERROR(Model!$AJ$57/Model!$D$193,"")</f>
        <v>0.80208317980186439</v>
      </c>
      <c r="F8" s="71">
        <f>IFERROR((Model!$O$57+Model!$O$76)/Model!$D$193,"")</f>
        <v>2.933349581949049E-2</v>
      </c>
      <c r="G8" s="195">
        <f t="shared" ref="G8:G27" si="0">IFERROR(F8/$F$29,"")</f>
        <v>4.6193398460568837E-2</v>
      </c>
    </row>
    <row r="9" spans="1:7" x14ac:dyDescent="0.25">
      <c r="C9" s="211"/>
      <c r="D9" s="70" t="s">
        <v>209</v>
      </c>
      <c r="E9" s="71">
        <f>IFERROR(Model!$AJ$54/Model!$D$193,"")</f>
        <v>2.6581593925734999</v>
      </c>
      <c r="F9" s="71">
        <f>IFERROR((Model!$O$54+Model!$O$73)/Model!$D$193,"")</f>
        <v>9.721324345544248E-2</v>
      </c>
      <c r="G9" s="195">
        <f t="shared" si="0"/>
        <v>0.15308813235951843</v>
      </c>
    </row>
    <row r="10" spans="1:7" x14ac:dyDescent="0.25">
      <c r="C10" s="212"/>
      <c r="D10" s="167" t="s">
        <v>210</v>
      </c>
      <c r="E10" s="199">
        <f>IFERROR(Model!$AJ$58/Model!$D$193,"")</f>
        <v>6.879649812583315</v>
      </c>
      <c r="F10" s="199">
        <f>IFERROR((Model!$O$58+Model!$O$77)/Model!$D$193,"")</f>
        <v>0.251600063558024</v>
      </c>
      <c r="G10" s="200">
        <f t="shared" si="0"/>
        <v>0.39621128215198598</v>
      </c>
    </row>
    <row r="11" spans="1:7" x14ac:dyDescent="0.25">
      <c r="C11" s="210" t="s">
        <v>211</v>
      </c>
      <c r="D11" s="70" t="s">
        <v>207</v>
      </c>
      <c r="E11" s="71">
        <f>IFERROR(Model!$AJ$114/Model!$D$193,"")</f>
        <v>0.69296701735218413</v>
      </c>
      <c r="F11" s="71">
        <f>IFERROR(Model!$O$114/Model!$D$193,"")</f>
        <v>2.7665825035487528E-2</v>
      </c>
      <c r="G11" s="195">
        <f t="shared" si="0"/>
        <v>4.3567206836476344E-2</v>
      </c>
    </row>
    <row r="12" spans="1:7" x14ac:dyDescent="0.25">
      <c r="C12" s="211"/>
      <c r="D12" s="70" t="s">
        <v>208</v>
      </c>
      <c r="E12" s="71">
        <f>IFERROR(Model!$AJ$115/Model!$D$193,"")</f>
        <v>0.16254781888508019</v>
      </c>
      <c r="F12" s="71">
        <f>IFERROR(Model!$O$115/Model!$D$193,"")</f>
        <v>6.4895145144970735E-3</v>
      </c>
      <c r="G12" s="195">
        <f t="shared" si="0"/>
        <v>1.0219468270284573E-2</v>
      </c>
    </row>
    <row r="13" spans="1:7" x14ac:dyDescent="0.25">
      <c r="C13" s="211"/>
      <c r="D13" s="70" t="s">
        <v>209</v>
      </c>
      <c r="E13" s="71">
        <f>IFERROR(Model!$AJ$112/Model!$D$193,"")</f>
        <v>1.919414093960629</v>
      </c>
      <c r="F13" s="71">
        <f>IFERROR(Model!$O$112/Model!$D$193,"")</f>
        <v>7.6630161558144755E-2</v>
      </c>
      <c r="G13" s="195">
        <f t="shared" si="0"/>
        <v>0.12067459019327449</v>
      </c>
    </row>
    <row r="14" spans="1:7" x14ac:dyDescent="0.25">
      <c r="C14" s="212"/>
      <c r="D14" s="167" t="s">
        <v>212</v>
      </c>
      <c r="E14" s="199">
        <f>IFERROR(Model!$AJ$116/Model!$D$193,"")</f>
        <v>2.7749289301978934</v>
      </c>
      <c r="F14" s="199">
        <f>IFERROR(Model!$O$116/Model!$D$193,"")</f>
        <v>0.11078550110812935</v>
      </c>
      <c r="G14" s="200">
        <f t="shared" si="0"/>
        <v>0.17446126530003539</v>
      </c>
    </row>
    <row r="15" spans="1:7" x14ac:dyDescent="0.25">
      <c r="C15" s="210" t="s">
        <v>213</v>
      </c>
      <c r="D15" s="70" t="s">
        <v>207</v>
      </c>
      <c r="E15" s="71">
        <f>Model!$AJ$134/Model!$D$193</f>
        <v>0</v>
      </c>
      <c r="F15" s="71">
        <f>Model!$O$134/Model!$D$193</f>
        <v>0</v>
      </c>
      <c r="G15" s="195">
        <f t="shared" si="0"/>
        <v>0</v>
      </c>
    </row>
    <row r="16" spans="1:7" x14ac:dyDescent="0.25">
      <c r="C16" s="211"/>
      <c r="D16" s="70" t="s">
        <v>208</v>
      </c>
      <c r="E16" s="71">
        <f>Model!$AJ$135/Model!$D$193</f>
        <v>0</v>
      </c>
      <c r="F16" s="71">
        <f>Model!$O$135/Model!$D$193</f>
        <v>0</v>
      </c>
      <c r="G16" s="195">
        <f t="shared" si="0"/>
        <v>0</v>
      </c>
    </row>
    <row r="17" spans="3:7" x14ac:dyDescent="0.25">
      <c r="C17" s="211"/>
      <c r="D17" s="70" t="s">
        <v>209</v>
      </c>
      <c r="E17" s="71">
        <f>Model!$AJ$132/Model!$D$193</f>
        <v>0</v>
      </c>
      <c r="F17" s="71">
        <f>Model!$O$132/Model!$D$193</f>
        <v>0</v>
      </c>
      <c r="G17" s="195">
        <f t="shared" si="0"/>
        <v>0</v>
      </c>
    </row>
    <row r="18" spans="3:7" x14ac:dyDescent="0.25">
      <c r="C18" s="212"/>
      <c r="D18" s="167" t="s">
        <v>214</v>
      </c>
      <c r="E18" s="199">
        <f>Model!$AJ$136/Model!$D$193</f>
        <v>0</v>
      </c>
      <c r="F18" s="199">
        <f>Model!$O$136/Model!$D$193</f>
        <v>0</v>
      </c>
      <c r="G18" s="200">
        <f t="shared" si="0"/>
        <v>0</v>
      </c>
    </row>
    <row r="19" spans="3:7" x14ac:dyDescent="0.25">
      <c r="C19" s="210" t="s">
        <v>215</v>
      </c>
      <c r="D19" s="70" t="s">
        <v>216</v>
      </c>
      <c r="E19" s="70"/>
      <c r="F19" s="70"/>
      <c r="G19" s="195"/>
    </row>
    <row r="20" spans="3:7" x14ac:dyDescent="0.25">
      <c r="C20" s="211"/>
      <c r="D20" s="70" t="s">
        <v>217</v>
      </c>
      <c r="E20" s="70"/>
      <c r="F20" s="70"/>
      <c r="G20" s="195"/>
    </row>
    <row r="21" spans="3:7" x14ac:dyDescent="0.25">
      <c r="C21" s="211"/>
      <c r="D21" s="70" t="s">
        <v>218</v>
      </c>
      <c r="E21" s="70"/>
      <c r="F21" s="70"/>
      <c r="G21" s="195"/>
    </row>
    <row r="22" spans="3:7" x14ac:dyDescent="0.25">
      <c r="C22" s="211"/>
      <c r="D22" s="70" t="s">
        <v>219</v>
      </c>
      <c r="E22" s="70"/>
      <c r="F22" s="70"/>
      <c r="G22" s="195"/>
    </row>
    <row r="23" spans="3:7" x14ac:dyDescent="0.25">
      <c r="C23" s="212"/>
      <c r="D23" s="167" t="s">
        <v>220</v>
      </c>
      <c r="E23" s="199">
        <f>Model!$AJ$181/Model!$D$193</f>
        <v>0</v>
      </c>
      <c r="F23" s="199">
        <f>Model!$O$181/Model!$D$193</f>
        <v>0</v>
      </c>
      <c r="G23" s="200">
        <f t="shared" si="0"/>
        <v>0</v>
      </c>
    </row>
    <row r="24" spans="3:7" x14ac:dyDescent="0.25">
      <c r="C24" s="210" t="s">
        <v>221</v>
      </c>
      <c r="D24" s="70" t="s">
        <v>222</v>
      </c>
      <c r="E24" s="70"/>
      <c r="F24" s="70"/>
      <c r="G24" s="195"/>
    </row>
    <row r="25" spans="3:7" x14ac:dyDescent="0.25">
      <c r="C25" s="211"/>
      <c r="D25" s="70" t="s">
        <v>223</v>
      </c>
      <c r="E25" s="70"/>
      <c r="F25" s="70"/>
      <c r="G25" s="195"/>
    </row>
    <row r="26" spans="3:7" x14ac:dyDescent="0.25">
      <c r="C26" s="211"/>
      <c r="D26" s="70" t="s">
        <v>224</v>
      </c>
      <c r="E26" s="70"/>
      <c r="F26" s="70"/>
      <c r="G26" s="195"/>
    </row>
    <row r="27" spans="3:7" x14ac:dyDescent="0.25">
      <c r="C27" s="212"/>
      <c r="D27" s="167" t="s">
        <v>225</v>
      </c>
      <c r="E27" s="199">
        <f>IFERROR(Model!$AJ$10/Model!$D$193,"")</f>
        <v>6.9783383747495531</v>
      </c>
      <c r="F27" s="199">
        <f>IFERROR(Model!$O$10/Model!$D$193,"")</f>
        <v>0.27262932484300162</v>
      </c>
      <c r="G27" s="200">
        <f t="shared" si="0"/>
        <v>0.42932745254797861</v>
      </c>
    </row>
    <row r="28" spans="3:7" x14ac:dyDescent="0.25">
      <c r="C28" s="72" t="s">
        <v>226</v>
      </c>
      <c r="D28" s="70"/>
      <c r="E28" s="71"/>
      <c r="F28" s="71"/>
      <c r="G28" s="195"/>
    </row>
    <row r="29" spans="3:7" ht="15.75" thickBot="1" x14ac:dyDescent="0.3">
      <c r="C29" s="168" t="s">
        <v>227</v>
      </c>
      <c r="D29" s="168"/>
      <c r="E29" s="169">
        <f>Model!$AJ$17/Model!$D$193</f>
        <v>16.632917117530763</v>
      </c>
      <c r="F29" s="169">
        <f>Model!$O$17/Model!$D$193</f>
        <v>0.63501488950915497</v>
      </c>
      <c r="G29" s="196">
        <f>G10+G14+G18+G23+G27</f>
        <v>1</v>
      </c>
    </row>
    <row r="30" spans="3:7" x14ac:dyDescent="0.25">
      <c r="C30" s="73" t="s">
        <v>228</v>
      </c>
      <c r="D30" s="74" t="s">
        <v>229</v>
      </c>
      <c r="E30" s="74"/>
      <c r="F30" s="74"/>
      <c r="G30" s="74"/>
    </row>
    <row r="31" spans="3:7" x14ac:dyDescent="0.25">
      <c r="C31" s="75"/>
      <c r="D31" s="70" t="s">
        <v>230</v>
      </c>
      <c r="E31" s="70"/>
      <c r="F31" s="70"/>
      <c r="G31" s="70"/>
    </row>
    <row r="32" spans="3:7" x14ac:dyDescent="0.25">
      <c r="C32" s="75"/>
      <c r="D32" s="70" t="s">
        <v>231</v>
      </c>
      <c r="E32" s="70"/>
      <c r="F32" s="70"/>
      <c r="G32" s="70"/>
    </row>
    <row r="33" spans="3:7" x14ac:dyDescent="0.25">
      <c r="C33" s="75" t="s">
        <v>232</v>
      </c>
      <c r="D33" s="70" t="s">
        <v>233</v>
      </c>
      <c r="E33" s="70"/>
      <c r="F33" s="70"/>
      <c r="G33" s="70"/>
    </row>
    <row r="34" spans="3:7" x14ac:dyDescent="0.25">
      <c r="C34" s="75"/>
      <c r="D34" s="70" t="s">
        <v>234</v>
      </c>
      <c r="E34" s="70"/>
      <c r="F34" s="70"/>
      <c r="G34" s="70"/>
    </row>
    <row r="35" spans="3:7" x14ac:dyDescent="0.25">
      <c r="C35" s="75"/>
      <c r="D35" s="70" t="s">
        <v>235</v>
      </c>
      <c r="E35" s="70"/>
      <c r="F35" s="70"/>
      <c r="G35" s="70"/>
    </row>
  </sheetData>
  <mergeCells count="9">
    <mergeCell ref="A1:G1"/>
    <mergeCell ref="C19:C23"/>
    <mergeCell ref="C24:C27"/>
    <mergeCell ref="C5:D6"/>
    <mergeCell ref="E5:E6"/>
    <mergeCell ref="F5:G5"/>
    <mergeCell ref="C7:C10"/>
    <mergeCell ref="C11:C14"/>
    <mergeCell ref="C15:C1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206"/>
  <sheetViews>
    <sheetView topLeftCell="A31" workbookViewId="0"/>
    <sheetView tabSelected="1" topLeftCell="C46" workbookViewId="1"/>
  </sheetViews>
  <sheetFormatPr defaultRowHeight="15" x14ac:dyDescent="0.25"/>
  <cols>
    <col min="1" max="1" width="9.140625" style="41"/>
    <col min="2" max="2" width="39.28515625" style="41" bestFit="1" customWidth="1"/>
    <col min="3" max="3" width="80.7109375" style="41" customWidth="1"/>
    <col min="4" max="4" width="14.140625" style="41" customWidth="1"/>
    <col min="5" max="5" width="14.42578125" style="41" bestFit="1" customWidth="1"/>
    <col min="6" max="6" width="15.28515625" style="41" bestFit="1" customWidth="1"/>
    <col min="7" max="7" width="13.42578125" style="41" customWidth="1"/>
    <col min="8" max="9" width="12.140625" style="41" bestFit="1" customWidth="1"/>
    <col min="10" max="38" width="14.28515625" style="41" bestFit="1" customWidth="1"/>
    <col min="39" max="39" width="15.28515625" style="41" bestFit="1" customWidth="1"/>
    <col min="40" max="41" width="14.28515625" style="41" bestFit="1" customWidth="1"/>
    <col min="42" max="16384" width="9.140625" style="41"/>
  </cols>
  <sheetData>
    <row r="1" spans="2:41" ht="15.75" x14ac:dyDescent="0.25">
      <c r="B1" s="197" t="s">
        <v>140</v>
      </c>
      <c r="C1" s="197" t="s">
        <v>464</v>
      </c>
      <c r="D1" s="197" t="s">
        <v>127</v>
      </c>
      <c r="E1" s="27" t="s">
        <v>472</v>
      </c>
    </row>
    <row r="2" spans="2:41" x14ac:dyDescent="0.25">
      <c r="B2" s="27" t="s">
        <v>79</v>
      </c>
      <c r="C2" s="27" t="s">
        <v>79</v>
      </c>
      <c r="D2" s="1">
        <f>'Input sheet'!E7</f>
        <v>0.04</v>
      </c>
    </row>
    <row r="3" spans="2:41" x14ac:dyDescent="0.25">
      <c r="F3" s="27" t="s">
        <v>87</v>
      </c>
    </row>
    <row r="4" spans="2:41" x14ac:dyDescent="0.25">
      <c r="B4" s="27" t="s">
        <v>113</v>
      </c>
      <c r="C4" s="27" t="s">
        <v>473</v>
      </c>
      <c r="D4" s="27" t="s">
        <v>127</v>
      </c>
      <c r="F4" s="27">
        <v>1</v>
      </c>
      <c r="G4" s="27">
        <f>F4+1</f>
        <v>2</v>
      </c>
      <c r="H4" s="27">
        <f t="shared" ref="H4:AI4" si="0">G4+1</f>
        <v>3</v>
      </c>
      <c r="I4" s="27">
        <f t="shared" si="0"/>
        <v>4</v>
      </c>
      <c r="J4" s="27">
        <f t="shared" si="0"/>
        <v>5</v>
      </c>
      <c r="K4" s="27">
        <f t="shared" si="0"/>
        <v>6</v>
      </c>
      <c r="L4" s="27">
        <f t="shared" si="0"/>
        <v>7</v>
      </c>
      <c r="M4" s="27">
        <f t="shared" si="0"/>
        <v>8</v>
      </c>
      <c r="N4" s="27">
        <f t="shared" si="0"/>
        <v>9</v>
      </c>
      <c r="O4" s="27">
        <f t="shared" si="0"/>
        <v>10</v>
      </c>
      <c r="P4" s="27">
        <f t="shared" si="0"/>
        <v>11</v>
      </c>
      <c r="Q4" s="27">
        <f t="shared" si="0"/>
        <v>12</v>
      </c>
      <c r="R4" s="27">
        <f t="shared" si="0"/>
        <v>13</v>
      </c>
      <c r="S4" s="27">
        <f t="shared" si="0"/>
        <v>14</v>
      </c>
      <c r="T4" s="27">
        <f t="shared" si="0"/>
        <v>15</v>
      </c>
      <c r="U4" s="27">
        <f t="shared" si="0"/>
        <v>16</v>
      </c>
      <c r="V4" s="27">
        <f t="shared" si="0"/>
        <v>17</v>
      </c>
      <c r="W4" s="27">
        <f t="shared" si="0"/>
        <v>18</v>
      </c>
      <c r="X4" s="27">
        <f t="shared" si="0"/>
        <v>19</v>
      </c>
      <c r="Y4" s="27">
        <f t="shared" si="0"/>
        <v>20</v>
      </c>
      <c r="Z4" s="27">
        <f t="shared" si="0"/>
        <v>21</v>
      </c>
      <c r="AA4" s="27">
        <f t="shared" si="0"/>
        <v>22</v>
      </c>
      <c r="AB4" s="27">
        <f t="shared" si="0"/>
        <v>23</v>
      </c>
      <c r="AC4" s="27">
        <f t="shared" si="0"/>
        <v>24</v>
      </c>
      <c r="AD4" s="27">
        <f t="shared" si="0"/>
        <v>25</v>
      </c>
      <c r="AE4" s="27">
        <f t="shared" si="0"/>
        <v>26</v>
      </c>
      <c r="AF4" s="27">
        <f t="shared" si="0"/>
        <v>27</v>
      </c>
      <c r="AG4" s="27">
        <f t="shared" si="0"/>
        <v>28</v>
      </c>
      <c r="AH4" s="27">
        <f t="shared" si="0"/>
        <v>29</v>
      </c>
      <c r="AI4" s="27">
        <f t="shared" si="0"/>
        <v>30</v>
      </c>
      <c r="AJ4" s="40" t="s">
        <v>107</v>
      </c>
    </row>
    <row r="5" spans="2:41" x14ac:dyDescent="0.25">
      <c r="C5" s="41" t="s">
        <v>155</v>
      </c>
      <c r="D5" s="42">
        <f>'Input sheet'!E10</f>
        <v>23400000</v>
      </c>
      <c r="F5" s="43">
        <v>0</v>
      </c>
      <c r="G5" s="43">
        <v>0</v>
      </c>
      <c r="H5" s="43">
        <v>0</v>
      </c>
      <c r="I5" s="43">
        <v>0</v>
      </c>
      <c r="J5" s="43">
        <v>0</v>
      </c>
      <c r="K5" s="43">
        <v>0</v>
      </c>
      <c r="L5" s="43">
        <v>0</v>
      </c>
      <c r="M5" s="43">
        <v>0</v>
      </c>
      <c r="N5" s="43">
        <v>0</v>
      </c>
      <c r="O5" s="43">
        <v>0</v>
      </c>
      <c r="P5" s="43">
        <v>0</v>
      </c>
      <c r="Q5" s="43">
        <v>0</v>
      </c>
      <c r="R5" s="43">
        <v>0</v>
      </c>
      <c r="S5" s="43">
        <v>0</v>
      </c>
      <c r="T5" s="43">
        <v>0</v>
      </c>
      <c r="U5" s="43">
        <v>0</v>
      </c>
      <c r="V5" s="43">
        <v>0</v>
      </c>
      <c r="W5" s="43">
        <v>0</v>
      </c>
      <c r="X5" s="43">
        <v>0</v>
      </c>
      <c r="Y5" s="43">
        <v>0</v>
      </c>
      <c r="Z5" s="43">
        <v>0</v>
      </c>
      <c r="AA5" s="43">
        <v>0</v>
      </c>
      <c r="AB5" s="43">
        <v>0</v>
      </c>
      <c r="AC5" s="43">
        <v>0</v>
      </c>
      <c r="AD5" s="43">
        <v>0</v>
      </c>
      <c r="AE5" s="43">
        <v>0</v>
      </c>
      <c r="AF5" s="43">
        <v>0</v>
      </c>
      <c r="AG5" s="43">
        <v>0</v>
      </c>
      <c r="AH5" s="43">
        <v>0</v>
      </c>
      <c r="AI5" s="43">
        <v>0</v>
      </c>
      <c r="AJ5" s="43">
        <f>SUM(F5:AI5)+D5</f>
        <v>23400000</v>
      </c>
    </row>
    <row r="6" spans="2:41" x14ac:dyDescent="0.25">
      <c r="C6" s="41" t="s">
        <v>156</v>
      </c>
      <c r="D6" s="57">
        <f>AJ6</f>
        <v>3451052.2581850812</v>
      </c>
      <c r="F6" s="43">
        <f>INDEX('Input sheet'!$J$8:$J$37,MATCH(F4,'Input sheet'!$I$8:$I$37))*(1/((1+$D$2)^F$4))</f>
        <v>0</v>
      </c>
      <c r="G6" s="43">
        <f>INDEX('Input sheet'!$J$8:$J$37,MATCH(G4,'Input sheet'!$I$8:$I$37))*(1/((1+$D$2)^G$4))</f>
        <v>0</v>
      </c>
      <c r="H6" s="43">
        <f>INDEX('Input sheet'!$J$8:$J$37,MATCH(H4,'Input sheet'!$I$8:$I$37))*(1/((1+$D$2)^H$4))</f>
        <v>0</v>
      </c>
      <c r="I6" s="43">
        <f>INDEX('Input sheet'!$J$8:$J$37,MATCH(I4,'Input sheet'!$I$8:$I$37))*(1/((1+$D$2)^I$4))</f>
        <v>0</v>
      </c>
      <c r="J6" s="43">
        <f>INDEX('Input sheet'!$J$8:$J$37,MATCH(J4,'Input sheet'!$I$8:$I$37))*(1/((1+$D$2)^J$4))</f>
        <v>0</v>
      </c>
      <c r="K6" s="43">
        <f>INDEX('Input sheet'!$J$8:$J$37,MATCH(K4,'Input sheet'!$I$8:$I$37))*(1/((1+$D$2)^K$4))</f>
        <v>0</v>
      </c>
      <c r="L6" s="43">
        <f>INDEX('Input sheet'!$J$8:$J$37,MATCH(L4,'Input sheet'!$I$8:$I$37))*(1/((1+$D$2)^L$4))</f>
        <v>0</v>
      </c>
      <c r="M6" s="43">
        <f>INDEX('Input sheet'!$J$8:$J$37,MATCH(M4,'Input sheet'!$I$8:$I$37))*(1/((1+$D$2)^M$4))</f>
        <v>0</v>
      </c>
      <c r="N6" s="43">
        <f>INDEX('Input sheet'!$J$8:$J$37,MATCH(N4,'Input sheet'!$I$8:$I$37))*(1/((1+$D$2)^N$4))</f>
        <v>0</v>
      </c>
      <c r="O6" s="43">
        <f>INDEX('Input sheet'!$J$8:$J$37,MATCH(O4,'Input sheet'!$I$8:$I$37))*(1/((1+$D$2)^O$4))</f>
        <v>0</v>
      </c>
      <c r="P6" s="43">
        <f>INDEX('Input sheet'!$J$8:$J$37,MATCH(P4,'Input sheet'!$I$8:$I$37))*(1/((1+$D$2)^P$4))</f>
        <v>0</v>
      </c>
      <c r="Q6" s="43">
        <f>INDEX('Input sheet'!$J$8:$J$37,MATCH(Q4,'Input sheet'!$I$8:$I$37))*(1/((1+$D$2)^Q$4))</f>
        <v>0</v>
      </c>
      <c r="R6" s="43">
        <f>INDEX('Input sheet'!$J$8:$J$37,MATCH(R4,'Input sheet'!$I$8:$I$37))*(1/((1+$D$2)^R$4))</f>
        <v>0</v>
      </c>
      <c r="S6" s="43">
        <f>INDEX('Input sheet'!$J$8:$J$37,MATCH(S4,'Input sheet'!$I$8:$I$37))*(1/((1+$D$2)^S$4))</f>
        <v>0</v>
      </c>
      <c r="T6" s="43">
        <f>INDEX('Input sheet'!$J$8:$J$37,MATCH(T4,'Input sheet'!$I$8:$I$37))*(1/((1+$D$2)^T$4))</f>
        <v>1003002.0344761239</v>
      </c>
      <c r="U6" s="43">
        <f>INDEX('Input sheet'!$J$8:$J$37,MATCH(U4,'Input sheet'!$I$8:$I$37))*(1/((1+$D$2)^U$4))</f>
        <v>0</v>
      </c>
      <c r="V6" s="43">
        <f>INDEX('Input sheet'!$J$8:$J$37,MATCH(V4,'Input sheet'!$I$8:$I$37))*(1/((1+$D$2)^V$4))</f>
        <v>0</v>
      </c>
      <c r="W6" s="43">
        <f>INDEX('Input sheet'!$J$8:$J$37,MATCH(W4,'Input sheet'!$I$8:$I$37))*(1/((1+$D$2)^W$4))</f>
        <v>0</v>
      </c>
      <c r="X6" s="43">
        <f>INDEX('Input sheet'!$J$8:$J$37,MATCH(X4,'Input sheet'!$I$8:$I$37))*(1/((1+$D$2)^X$4))</f>
        <v>0</v>
      </c>
      <c r="Y6" s="43">
        <f>INDEX('Input sheet'!$J$8:$J$37,MATCH(Y4,'Input sheet'!$I$8:$I$37))*(1/((1+$D$2)^Y$4))</f>
        <v>0</v>
      </c>
      <c r="Z6" s="43">
        <f>INDEX('Input sheet'!$J$8:$J$37,MATCH(Z4,'Input sheet'!$I$8:$I$37))*(1/((1+$D$2)^Z$4))</f>
        <v>0</v>
      </c>
      <c r="AA6" s="43">
        <f>INDEX('Input sheet'!$J$8:$J$37,MATCH(AA4,'Input sheet'!$I$8:$I$37))*(1/((1+$D$2)^AA$4))</f>
        <v>0</v>
      </c>
      <c r="AB6" s="43">
        <f>INDEX('Input sheet'!$J$8:$J$37,MATCH(AB4,'Input sheet'!$I$8:$I$37))*(1/((1+$D$2)^AB$4))</f>
        <v>0</v>
      </c>
      <c r="AC6" s="43">
        <f>INDEX('Input sheet'!$J$8:$J$37,MATCH(AC4,'Input sheet'!$I$8:$I$37))*(1/((1+$D$2)^AC$4))</f>
        <v>0</v>
      </c>
      <c r="AD6" s="43">
        <f>INDEX('Input sheet'!$J$8:$J$37,MATCH(AD4,'Input sheet'!$I$8:$I$37))*(1/((1+$D$2)^AD$4))</f>
        <v>0</v>
      </c>
      <c r="AE6" s="43">
        <f>INDEX('Input sheet'!$J$8:$J$37,MATCH(AE4,'Input sheet'!$I$8:$I$37))*(1/((1+$D$2)^AE$4))</f>
        <v>0</v>
      </c>
      <c r="AF6" s="43">
        <f>INDEX('Input sheet'!$J$8:$J$37,MATCH(AF4,'Input sheet'!$I$8:$I$37))*(1/((1+$D$2)^AF$4))</f>
        <v>0</v>
      </c>
      <c r="AG6" s="43">
        <f>INDEX('Input sheet'!$J$8:$J$37,MATCH(AG4,'Input sheet'!$I$8:$I$37))*(1/((1+$D$2)^AG$4))</f>
        <v>0</v>
      </c>
      <c r="AH6" s="43">
        <f>INDEX('Input sheet'!$J$8:$J$37,MATCH(AH4,'Input sheet'!$I$8:$I$37))*(1/((1+$D$2)^AH$4))</f>
        <v>0</v>
      </c>
      <c r="AI6" s="43">
        <f>INDEX('Input sheet'!$J$8:$J$37,MATCH(AI4,'Input sheet'!$I$8:$I$37))*(1/((1+$D$2)^AI$4))</f>
        <v>2448050.2237089574</v>
      </c>
      <c r="AJ6" s="43">
        <f>SUM(F6:AI6)</f>
        <v>3451052.2581850812</v>
      </c>
    </row>
    <row r="7" spans="2:41" x14ac:dyDescent="0.25">
      <c r="C7" s="27" t="s">
        <v>136</v>
      </c>
      <c r="D7" s="42">
        <f>AJ7</f>
        <v>26851052.258185081</v>
      </c>
      <c r="F7" s="43">
        <f t="shared" ref="F7:AJ7" si="1">SUM(F5:F6)</f>
        <v>0</v>
      </c>
      <c r="G7" s="43">
        <f t="shared" si="1"/>
        <v>0</v>
      </c>
      <c r="H7" s="43">
        <f t="shared" si="1"/>
        <v>0</v>
      </c>
      <c r="I7" s="43">
        <f t="shared" si="1"/>
        <v>0</v>
      </c>
      <c r="J7" s="43">
        <f t="shared" si="1"/>
        <v>0</v>
      </c>
      <c r="K7" s="43">
        <f t="shared" si="1"/>
        <v>0</v>
      </c>
      <c r="L7" s="43">
        <f t="shared" si="1"/>
        <v>0</v>
      </c>
      <c r="M7" s="43">
        <f t="shared" si="1"/>
        <v>0</v>
      </c>
      <c r="N7" s="43">
        <f t="shared" si="1"/>
        <v>0</v>
      </c>
      <c r="O7" s="43">
        <f t="shared" si="1"/>
        <v>0</v>
      </c>
      <c r="P7" s="43">
        <f t="shared" si="1"/>
        <v>0</v>
      </c>
      <c r="Q7" s="43">
        <f t="shared" si="1"/>
        <v>0</v>
      </c>
      <c r="R7" s="43">
        <f t="shared" si="1"/>
        <v>0</v>
      </c>
      <c r="S7" s="43">
        <f t="shared" si="1"/>
        <v>0</v>
      </c>
      <c r="T7" s="43">
        <f t="shared" si="1"/>
        <v>1003002.0344761239</v>
      </c>
      <c r="U7" s="43">
        <f t="shared" si="1"/>
        <v>0</v>
      </c>
      <c r="V7" s="43">
        <f t="shared" si="1"/>
        <v>0</v>
      </c>
      <c r="W7" s="43">
        <f t="shared" si="1"/>
        <v>0</v>
      </c>
      <c r="X7" s="43">
        <f t="shared" si="1"/>
        <v>0</v>
      </c>
      <c r="Y7" s="43">
        <f t="shared" si="1"/>
        <v>0</v>
      </c>
      <c r="Z7" s="43">
        <f t="shared" si="1"/>
        <v>0</v>
      </c>
      <c r="AA7" s="43">
        <f t="shared" si="1"/>
        <v>0</v>
      </c>
      <c r="AB7" s="43">
        <f t="shared" si="1"/>
        <v>0</v>
      </c>
      <c r="AC7" s="43">
        <f t="shared" si="1"/>
        <v>0</v>
      </c>
      <c r="AD7" s="43">
        <f t="shared" si="1"/>
        <v>0</v>
      </c>
      <c r="AE7" s="43">
        <f t="shared" si="1"/>
        <v>0</v>
      </c>
      <c r="AF7" s="43">
        <f t="shared" si="1"/>
        <v>0</v>
      </c>
      <c r="AG7" s="43">
        <f t="shared" si="1"/>
        <v>0</v>
      </c>
      <c r="AH7" s="43">
        <f t="shared" si="1"/>
        <v>0</v>
      </c>
      <c r="AI7" s="43">
        <f t="shared" si="1"/>
        <v>2448050.2237089574</v>
      </c>
      <c r="AJ7" s="43">
        <f t="shared" si="1"/>
        <v>26851052.258185081</v>
      </c>
    </row>
    <row r="8" spans="2:41" x14ac:dyDescent="0.25">
      <c r="C8" s="27"/>
      <c r="D8" s="42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</row>
    <row r="9" spans="2:41" x14ac:dyDescent="0.25">
      <c r="B9" s="27" t="s">
        <v>114</v>
      </c>
      <c r="C9" s="27" t="s">
        <v>474</v>
      </c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</row>
    <row r="10" spans="2:41" x14ac:dyDescent="0.25">
      <c r="C10" s="44" t="s">
        <v>292</v>
      </c>
      <c r="D10" s="57">
        <f>AJ10</f>
        <v>6978338.3747495534</v>
      </c>
      <c r="F10" s="43">
        <f>INDEX('Input sheet'!$M$8:$M$37,MATCH(F4,'Input sheet'!$L$8:$L$37,0))*(1/((1+$D$2)^F$4))</f>
        <v>388036.53846153844</v>
      </c>
      <c r="G10" s="43">
        <f>INDEX('Input sheet'!$M$8:$M$37,MATCH(G4,'Input sheet'!$L$8:$L$37,0))*(1/((1+$D$2)^G$4))</f>
        <v>373112.05621301773</v>
      </c>
      <c r="H10" s="43">
        <f>INDEX('Input sheet'!$M$8:$M$37,MATCH(H4,'Input sheet'!$L$8:$L$37,0))*(1/((1+$D$2)^H$4))</f>
        <v>358761.59251251706</v>
      </c>
      <c r="I10" s="43">
        <f>INDEX('Input sheet'!$M$8:$M$37,MATCH(I4,'Input sheet'!$L$8:$L$37,0))*(1/((1+$D$2)^I$4))</f>
        <v>344963.06972357404</v>
      </c>
      <c r="J10" s="43">
        <f>INDEX('Input sheet'!$M$8:$M$37,MATCH(J4,'Input sheet'!$L$8:$L$37,0))*(1/((1+$D$2)^J$4))</f>
        <v>331695.2593495904</v>
      </c>
      <c r="K10" s="43">
        <f>INDEX('Input sheet'!$M$8:$M$37,MATCH(K4,'Input sheet'!$L$8:$L$37,0))*(1/((1+$D$2)^K$4))</f>
        <v>318937.74937460612</v>
      </c>
      <c r="L10" s="43">
        <f>INDEX('Input sheet'!$M$8:$M$37,MATCH(L4,'Input sheet'!$L$8:$L$37,0))*(1/((1+$D$2)^L$4))</f>
        <v>306670.91286019824</v>
      </c>
      <c r="M10" s="43">
        <f>INDEX('Input sheet'!$M$8:$M$37,MATCH(M4,'Input sheet'!$L$8:$L$37,0))*(1/((1+$D$2)^M$4))</f>
        <v>294875.87775019056</v>
      </c>
      <c r="N10" s="43">
        <f>INDEX('Input sheet'!$M$8:$M$37,MATCH(N4,'Input sheet'!$L$8:$L$37,0))*(1/((1+$D$2)^N$4))</f>
        <v>283534.49783672165</v>
      </c>
      <c r="O10" s="43">
        <f>INDEX('Input sheet'!$M$8:$M$37,MATCH(O4,'Input sheet'!$L$8:$L$37,0))*(1/((1+$D$2)^O$4))</f>
        <v>272629.32484300161</v>
      </c>
      <c r="P10" s="43">
        <f>INDEX('Input sheet'!$M$8:$M$37,MATCH(P4,'Input sheet'!$L$8:$L$37,0))*(1/((1+$D$2)^P$4))</f>
        <v>262143.58157980928</v>
      </c>
      <c r="Q10" s="43">
        <f>INDEX('Input sheet'!$M$8:$M$37,MATCH(Q4,'Input sheet'!$L$8:$L$37,0))*(1/((1+$D$2)^Q$4))</f>
        <v>252061.13613443193</v>
      </c>
      <c r="R10" s="43">
        <f>INDEX('Input sheet'!$M$8:$M$37,MATCH(R4,'Input sheet'!$L$8:$L$37,0))*(1/((1+$D$2)^R$4))</f>
        <v>242366.47705233839</v>
      </c>
      <c r="S10" s="43">
        <f>INDEX('Input sheet'!$M$8:$M$37,MATCH(S4,'Input sheet'!$L$8:$L$37,0))*(1/((1+$D$2)^S$4))</f>
        <v>233044.68947340231</v>
      </c>
      <c r="T10" s="43">
        <f>INDEX('Input sheet'!$M$8:$M$37,MATCH(T4,'Input sheet'!$L$8:$L$37,0))*(1/((1+$D$2)^T$4))</f>
        <v>224081.43218596373</v>
      </c>
      <c r="U10" s="43">
        <f>INDEX('Input sheet'!$M$8:$M$37,MATCH(U4,'Input sheet'!$L$8:$L$37,0))*(1/((1+$D$2)^U$4))</f>
        <v>215462.91556342665</v>
      </c>
      <c r="V10" s="43">
        <f>INDEX('Input sheet'!$M$8:$M$37,MATCH(V4,'Input sheet'!$L$8:$L$37,0))*(1/((1+$D$2)^V$4))</f>
        <v>207175.88034944871</v>
      </c>
      <c r="W10" s="43">
        <f>INDEX('Input sheet'!$M$8:$M$37,MATCH(W4,'Input sheet'!$L$8:$L$37,0))*(1/((1+$D$2)^W$4))</f>
        <v>199207.57725908526</v>
      </c>
      <c r="X10" s="43">
        <f>INDEX('Input sheet'!$M$8:$M$37,MATCH(X4,'Input sheet'!$L$8:$L$37,0))*(1/((1+$D$2)^X$4))</f>
        <v>191545.74736450508</v>
      </c>
      <c r="Y10" s="43">
        <f>INDEX('Input sheet'!$M$8:$M$37,MATCH(Y4,'Input sheet'!$L$8:$L$37,0))*(1/((1+$D$2)^Y$4))</f>
        <v>184178.60323510101</v>
      </c>
      <c r="Z10" s="43">
        <f>INDEX('Input sheet'!$M$8:$M$37,MATCH(Z4,'Input sheet'!$L$8:$L$37,0))*(1/((1+$D$2)^Z$4))</f>
        <v>177094.81080298169</v>
      </c>
      <c r="AA10" s="43">
        <f>INDEX('Input sheet'!$M$8:$M$37,MATCH(AA4,'Input sheet'!$L$8:$L$37,0))*(1/((1+$D$2)^AA$4))</f>
        <v>170283.47192594394</v>
      </c>
      <c r="AB10" s="43">
        <f>INDEX('Input sheet'!$M$8:$M$37,MATCH(AB4,'Input sheet'!$L$8:$L$37,0))*(1/((1+$D$2)^AB$4))</f>
        <v>163734.10762109997</v>
      </c>
      <c r="AC10" s="43">
        <f>INDEX('Input sheet'!$M$8:$M$37,MATCH(AC4,'Input sheet'!$L$8:$L$37,0))*(1/((1+$D$2)^AC$4))</f>
        <v>157436.64194336536</v>
      </c>
      <c r="AD10" s="43">
        <f>INDEX('Input sheet'!$M$8:$M$37,MATCH(AD4,'Input sheet'!$L$8:$L$37,0))*(1/((1+$D$2)^AD$4))</f>
        <v>151381.38648400511</v>
      </c>
      <c r="AE10" s="43">
        <f>INDEX('Input sheet'!$M$8:$M$37,MATCH(AE4,'Input sheet'!$L$8:$L$37,0))*(1/((1+$D$2)^AE$4))</f>
        <v>145559.02546538954</v>
      </c>
      <c r="AF10" s="43">
        <f>INDEX('Input sheet'!$M$8:$M$37,MATCH(AF4,'Input sheet'!$L$8:$L$37,0))*(1/((1+$D$2)^AF$4))</f>
        <v>139960.6014090284</v>
      </c>
      <c r="AG10" s="43">
        <f>INDEX('Input sheet'!$M$8:$M$37,MATCH(AG4,'Input sheet'!$L$8:$L$37,0))*(1/((1+$D$2)^AG$4))</f>
        <v>134577.50135483497</v>
      </c>
      <c r="AH10" s="43">
        <f>INDEX('Input sheet'!$M$8:$M$37,MATCH(AH4,'Input sheet'!$L$8:$L$37,0))*(1/((1+$D$2)^AH$4))</f>
        <v>129401.44361041824</v>
      </c>
      <c r="AI10" s="43">
        <f>INDEX('Input sheet'!$M$8:$M$37,MATCH(AI4,'Input sheet'!$L$8:$L$37,0))*(1/((1+$D$2)^AI$4))</f>
        <v>124424.46501001756</v>
      </c>
      <c r="AJ10" s="43">
        <f>SUM(F10:AI10)</f>
        <v>6978338.3747495534</v>
      </c>
    </row>
    <row r="11" spans="2:41" x14ac:dyDescent="0.25">
      <c r="C11" s="41" t="s">
        <v>109</v>
      </c>
      <c r="D11" s="57">
        <f>AJ11</f>
        <v>6879649.8125833152</v>
      </c>
      <c r="F11" s="43">
        <f t="shared" ref="F11:AI11" si="2">IFERROR(F52*(1/((1+$D$2)^F4)),"")</f>
        <v>299646.53104734112</v>
      </c>
      <c r="G11" s="43">
        <f t="shared" si="2"/>
        <v>293884.09775796917</v>
      </c>
      <c r="H11" s="43">
        <f t="shared" si="2"/>
        <v>288232.48049339291</v>
      </c>
      <c r="I11" s="43">
        <f t="shared" si="2"/>
        <v>282689.54817621224</v>
      </c>
      <c r="J11" s="43">
        <f t="shared" si="2"/>
        <v>277253.21071128501</v>
      </c>
      <c r="K11" s="43">
        <f t="shared" si="2"/>
        <v>271921.41819760646</v>
      </c>
      <c r="L11" s="43">
        <f t="shared" si="2"/>
        <v>266692.16015534487</v>
      </c>
      <c r="M11" s="43">
        <f t="shared" si="2"/>
        <v>261563.46476774197</v>
      </c>
      <c r="N11" s="43">
        <f t="shared" si="2"/>
        <v>256533.39813759306</v>
      </c>
      <c r="O11" s="43">
        <f t="shared" si="2"/>
        <v>251600.06355802401</v>
      </c>
      <c r="P11" s="43">
        <f t="shared" si="2"/>
        <v>246761.60079729275</v>
      </c>
      <c r="Q11" s="43">
        <f t="shared" si="2"/>
        <v>242016.18539734482</v>
      </c>
      <c r="R11" s="43">
        <f t="shared" si="2"/>
        <v>237362.02798585739</v>
      </c>
      <c r="S11" s="43">
        <f t="shared" si="2"/>
        <v>232797.37360151397</v>
      </c>
      <c r="T11" s="43">
        <f t="shared" si="2"/>
        <v>228320.50103225408</v>
      </c>
      <c r="U11" s="43">
        <f t="shared" si="2"/>
        <v>223929.72216624915</v>
      </c>
      <c r="V11" s="43">
        <f t="shared" si="2"/>
        <v>219623.38135535974</v>
      </c>
      <c r="W11" s="43">
        <f t="shared" si="2"/>
        <v>215399.85479083357</v>
      </c>
      <c r="X11" s="43">
        <f t="shared" si="2"/>
        <v>211257.54989100993</v>
      </c>
      <c r="Y11" s="43">
        <f t="shared" si="2"/>
        <v>207194.90470079816</v>
      </c>
      <c r="Z11" s="43">
        <f t="shared" si="2"/>
        <v>203210.38730270584</v>
      </c>
      <c r="AA11" s="43">
        <f t="shared" si="2"/>
        <v>199302.49523919227</v>
      </c>
      <c r="AB11" s="43">
        <f t="shared" si="2"/>
        <v>195469.75494613091</v>
      </c>
      <c r="AC11" s="43">
        <f t="shared" si="2"/>
        <v>191710.72119716686</v>
      </c>
      <c r="AD11" s="43">
        <f t="shared" si="2"/>
        <v>188023.97655875975</v>
      </c>
      <c r="AE11" s="43">
        <f t="shared" si="2"/>
        <v>184408.13085570672</v>
      </c>
      <c r="AF11" s="43">
        <f t="shared" si="2"/>
        <v>180861.82064694309</v>
      </c>
      <c r="AG11" s="43">
        <f t="shared" si="2"/>
        <v>177383.70871142499</v>
      </c>
      <c r="AH11" s="43">
        <f t="shared" si="2"/>
        <v>173972.48354389754</v>
      </c>
      <c r="AI11" s="43">
        <f t="shared" si="2"/>
        <v>170626.8588603611</v>
      </c>
      <c r="AJ11" s="43">
        <f t="shared" ref="AJ11:AJ16" si="3">SUM(F11:AI11)</f>
        <v>6879649.8125833152</v>
      </c>
    </row>
    <row r="12" spans="2:41" x14ac:dyDescent="0.25">
      <c r="C12" s="41" t="s">
        <v>105</v>
      </c>
      <c r="D12" s="57">
        <f t="shared" ref="D12:D17" si="4">AJ12</f>
        <v>0</v>
      </c>
      <c r="F12" s="43">
        <f t="shared" ref="F12:AI12" si="5">IFERROR(F71*(1/((1+$D$2)^F4)),"")</f>
        <v>0</v>
      </c>
      <c r="G12" s="43">
        <f t="shared" si="5"/>
        <v>0</v>
      </c>
      <c r="H12" s="43">
        <f t="shared" si="5"/>
        <v>0</v>
      </c>
      <c r="I12" s="43">
        <f t="shared" si="5"/>
        <v>0</v>
      </c>
      <c r="J12" s="43">
        <f t="shared" si="5"/>
        <v>0</v>
      </c>
      <c r="K12" s="43">
        <f t="shared" si="5"/>
        <v>0</v>
      </c>
      <c r="L12" s="43">
        <f t="shared" si="5"/>
        <v>0</v>
      </c>
      <c r="M12" s="43">
        <f t="shared" si="5"/>
        <v>0</v>
      </c>
      <c r="N12" s="43">
        <f t="shared" si="5"/>
        <v>0</v>
      </c>
      <c r="O12" s="43">
        <f t="shared" si="5"/>
        <v>0</v>
      </c>
      <c r="P12" s="43">
        <f t="shared" si="5"/>
        <v>0</v>
      </c>
      <c r="Q12" s="43">
        <f t="shared" si="5"/>
        <v>0</v>
      </c>
      <c r="R12" s="43">
        <f t="shared" si="5"/>
        <v>0</v>
      </c>
      <c r="S12" s="43">
        <f t="shared" si="5"/>
        <v>0</v>
      </c>
      <c r="T12" s="43">
        <f t="shared" si="5"/>
        <v>0</v>
      </c>
      <c r="U12" s="43">
        <f t="shared" si="5"/>
        <v>0</v>
      </c>
      <c r="V12" s="43">
        <f t="shared" si="5"/>
        <v>0</v>
      </c>
      <c r="W12" s="43">
        <f t="shared" si="5"/>
        <v>0</v>
      </c>
      <c r="X12" s="43">
        <f t="shared" si="5"/>
        <v>0</v>
      </c>
      <c r="Y12" s="43">
        <f t="shared" si="5"/>
        <v>0</v>
      </c>
      <c r="Z12" s="43">
        <f t="shared" si="5"/>
        <v>0</v>
      </c>
      <c r="AA12" s="43">
        <f t="shared" si="5"/>
        <v>0</v>
      </c>
      <c r="AB12" s="43">
        <f t="shared" si="5"/>
        <v>0</v>
      </c>
      <c r="AC12" s="43">
        <f t="shared" si="5"/>
        <v>0</v>
      </c>
      <c r="AD12" s="43">
        <f t="shared" si="5"/>
        <v>0</v>
      </c>
      <c r="AE12" s="43">
        <f t="shared" si="5"/>
        <v>0</v>
      </c>
      <c r="AF12" s="43">
        <f t="shared" si="5"/>
        <v>0</v>
      </c>
      <c r="AG12" s="43">
        <f t="shared" si="5"/>
        <v>0</v>
      </c>
      <c r="AH12" s="43">
        <f t="shared" si="5"/>
        <v>0</v>
      </c>
      <c r="AI12" s="43">
        <f t="shared" si="5"/>
        <v>0</v>
      </c>
      <c r="AJ12" s="43">
        <f t="shared" si="3"/>
        <v>0</v>
      </c>
    </row>
    <row r="13" spans="2:41" x14ac:dyDescent="0.25">
      <c r="C13" s="41" t="s">
        <v>77</v>
      </c>
      <c r="D13" s="57">
        <f t="shared" si="4"/>
        <v>2774928.9301978936</v>
      </c>
      <c r="F13" s="43">
        <f t="shared" ref="F13:AI13" si="6">IFERROR(F110*(1/((1+$D$2)^F4)),"")</f>
        <v>171625.22763457784</v>
      </c>
      <c r="G13" s="43">
        <f t="shared" si="6"/>
        <v>163477.92026695251</v>
      </c>
      <c r="H13" s="43">
        <f t="shared" si="6"/>
        <v>155717.37781878241</v>
      </c>
      <c r="I13" s="43">
        <f t="shared" si="6"/>
        <v>148325.23997835082</v>
      </c>
      <c r="J13" s="43">
        <f t="shared" si="6"/>
        <v>141284.01802551863</v>
      </c>
      <c r="K13" s="43">
        <f t="shared" si="6"/>
        <v>134577.05345596312</v>
      </c>
      <c r="L13" s="43">
        <f t="shared" si="6"/>
        <v>128188.47856958574</v>
      </c>
      <c r="M13" s="43">
        <f t="shared" si="6"/>
        <v>122103.17892984761</v>
      </c>
      <c r="N13" s="43">
        <f t="shared" si="6"/>
        <v>116306.75760521719</v>
      </c>
      <c r="O13" s="43">
        <f t="shared" si="6"/>
        <v>110785.50110812935</v>
      </c>
      <c r="P13" s="43">
        <f t="shared" si="6"/>
        <v>105526.34695087381</v>
      </c>
      <c r="Q13" s="43">
        <f t="shared" si="6"/>
        <v>100516.85274165403</v>
      </c>
      <c r="R13" s="43">
        <f t="shared" si="6"/>
        <v>95745.16674770294</v>
      </c>
      <c r="S13" s="43">
        <f t="shared" si="6"/>
        <v>91199.999855811169</v>
      </c>
      <c r="T13" s="43">
        <f t="shared" si="6"/>
        <v>86870.598863931737</v>
      </c>
      <c r="U13" s="43">
        <f t="shared" si="6"/>
        <v>82746.721040672055</v>
      </c>
      <c r="V13" s="43">
        <f t="shared" si="6"/>
        <v>78818.609892485125</v>
      </c>
      <c r="W13" s="43">
        <f t="shared" si="6"/>
        <v>75076.972081228727</v>
      </c>
      <c r="X13" s="43">
        <f t="shared" si="6"/>
        <v>71512.955437482364</v>
      </c>
      <c r="Y13" s="43">
        <f t="shared" si="6"/>
        <v>68118.128017605573</v>
      </c>
      <c r="Z13" s="43">
        <f t="shared" si="6"/>
        <v>64884.458154988759</v>
      </c>
      <c r="AA13" s="43">
        <f t="shared" si="6"/>
        <v>61804.295458301356</v>
      </c>
      <c r="AB13" s="43">
        <f t="shared" si="6"/>
        <v>58870.352711781394</v>
      </c>
      <c r="AC13" s="43">
        <f t="shared" si="6"/>
        <v>56075.688634745871</v>
      </c>
      <c r="AD13" s="43">
        <f t="shared" si="6"/>
        <v>53413.691459532907</v>
      </c>
      <c r="AE13" s="43">
        <f t="shared" si="6"/>
        <v>50878.063289023572</v>
      </c>
      <c r="AF13" s="43">
        <f t="shared" si="6"/>
        <v>48462.805196735666</v>
      </c>
      <c r="AG13" s="43">
        <f t="shared" si="6"/>
        <v>46162.203034238642</v>
      </c>
      <c r="AH13" s="43">
        <f t="shared" si="6"/>
        <v>43970.813912311598</v>
      </c>
      <c r="AI13" s="43">
        <f t="shared" si="6"/>
        <v>41883.453323861148</v>
      </c>
      <c r="AJ13" s="43">
        <f t="shared" si="3"/>
        <v>2774928.9301978936</v>
      </c>
    </row>
    <row r="14" spans="2:41" x14ac:dyDescent="0.25">
      <c r="C14" s="41" t="s">
        <v>78</v>
      </c>
      <c r="D14" s="57">
        <f t="shared" si="4"/>
        <v>0</v>
      </c>
      <c r="F14" s="43">
        <f t="shared" ref="F14:AI14" si="7">IFERROR(F130*(1/((1+$D$2)^F4)),"")</f>
        <v>0</v>
      </c>
      <c r="G14" s="43">
        <f t="shared" si="7"/>
        <v>0</v>
      </c>
      <c r="H14" s="43">
        <f t="shared" si="7"/>
        <v>0</v>
      </c>
      <c r="I14" s="43">
        <f t="shared" si="7"/>
        <v>0</v>
      </c>
      <c r="J14" s="43">
        <f t="shared" si="7"/>
        <v>0</v>
      </c>
      <c r="K14" s="43">
        <f t="shared" si="7"/>
        <v>0</v>
      </c>
      <c r="L14" s="43">
        <f t="shared" si="7"/>
        <v>0</v>
      </c>
      <c r="M14" s="43">
        <f t="shared" si="7"/>
        <v>0</v>
      </c>
      <c r="N14" s="43">
        <f t="shared" si="7"/>
        <v>0</v>
      </c>
      <c r="O14" s="43">
        <f t="shared" si="7"/>
        <v>0</v>
      </c>
      <c r="P14" s="43">
        <f t="shared" si="7"/>
        <v>0</v>
      </c>
      <c r="Q14" s="43">
        <f t="shared" si="7"/>
        <v>0</v>
      </c>
      <c r="R14" s="43">
        <f t="shared" si="7"/>
        <v>0</v>
      </c>
      <c r="S14" s="43">
        <f t="shared" si="7"/>
        <v>0</v>
      </c>
      <c r="T14" s="43">
        <f t="shared" si="7"/>
        <v>0</v>
      </c>
      <c r="U14" s="43">
        <f t="shared" si="7"/>
        <v>0</v>
      </c>
      <c r="V14" s="43">
        <f t="shared" si="7"/>
        <v>0</v>
      </c>
      <c r="W14" s="43">
        <f t="shared" si="7"/>
        <v>0</v>
      </c>
      <c r="X14" s="43">
        <f t="shared" si="7"/>
        <v>0</v>
      </c>
      <c r="Y14" s="43">
        <f t="shared" si="7"/>
        <v>0</v>
      </c>
      <c r="Z14" s="43">
        <f t="shared" si="7"/>
        <v>0</v>
      </c>
      <c r="AA14" s="43">
        <f t="shared" si="7"/>
        <v>0</v>
      </c>
      <c r="AB14" s="43">
        <f t="shared" si="7"/>
        <v>0</v>
      </c>
      <c r="AC14" s="43">
        <f t="shared" si="7"/>
        <v>0</v>
      </c>
      <c r="AD14" s="43">
        <f t="shared" si="7"/>
        <v>0</v>
      </c>
      <c r="AE14" s="43">
        <f t="shared" si="7"/>
        <v>0</v>
      </c>
      <c r="AF14" s="43">
        <f t="shared" si="7"/>
        <v>0</v>
      </c>
      <c r="AG14" s="43">
        <f t="shared" si="7"/>
        <v>0</v>
      </c>
      <c r="AH14" s="43">
        <f t="shared" si="7"/>
        <v>0</v>
      </c>
      <c r="AI14" s="43">
        <f t="shared" si="7"/>
        <v>0</v>
      </c>
      <c r="AJ14" s="43">
        <f t="shared" si="3"/>
        <v>0</v>
      </c>
      <c r="AN14" s="43"/>
      <c r="AO14" s="43"/>
    </row>
    <row r="15" spans="2:41" x14ac:dyDescent="0.25">
      <c r="C15" s="49" t="s">
        <v>297</v>
      </c>
      <c r="D15" s="57">
        <f t="shared" si="4"/>
        <v>0</v>
      </c>
      <c r="F15" s="43" t="str">
        <f t="shared" ref="F15:AI15" si="8">IFERROR(F171*(1/((1+$D$2)^F4)),"")</f>
        <v/>
      </c>
      <c r="G15" s="43" t="str">
        <f t="shared" si="8"/>
        <v/>
      </c>
      <c r="H15" s="43" t="str">
        <f t="shared" si="8"/>
        <v/>
      </c>
      <c r="I15" s="43" t="str">
        <f t="shared" si="8"/>
        <v/>
      </c>
      <c r="J15" s="43" t="str">
        <f t="shared" si="8"/>
        <v/>
      </c>
      <c r="K15" s="43" t="str">
        <f t="shared" si="8"/>
        <v/>
      </c>
      <c r="L15" s="43" t="str">
        <f t="shared" si="8"/>
        <v/>
      </c>
      <c r="M15" s="43" t="str">
        <f t="shared" si="8"/>
        <v/>
      </c>
      <c r="N15" s="43" t="str">
        <f t="shared" si="8"/>
        <v/>
      </c>
      <c r="O15" s="43" t="str">
        <f t="shared" si="8"/>
        <v/>
      </c>
      <c r="P15" s="43" t="str">
        <f t="shared" si="8"/>
        <v/>
      </c>
      <c r="Q15" s="43" t="str">
        <f t="shared" si="8"/>
        <v/>
      </c>
      <c r="R15" s="43" t="str">
        <f t="shared" si="8"/>
        <v/>
      </c>
      <c r="S15" s="43" t="str">
        <f t="shared" si="8"/>
        <v/>
      </c>
      <c r="T15" s="43" t="str">
        <f t="shared" si="8"/>
        <v/>
      </c>
      <c r="U15" s="43" t="str">
        <f t="shared" si="8"/>
        <v/>
      </c>
      <c r="V15" s="43" t="str">
        <f t="shared" si="8"/>
        <v/>
      </c>
      <c r="W15" s="43" t="str">
        <f t="shared" si="8"/>
        <v/>
      </c>
      <c r="X15" s="43" t="str">
        <f t="shared" si="8"/>
        <v/>
      </c>
      <c r="Y15" s="43" t="str">
        <f t="shared" si="8"/>
        <v/>
      </c>
      <c r="Z15" s="43" t="str">
        <f t="shared" si="8"/>
        <v/>
      </c>
      <c r="AA15" s="43" t="str">
        <f t="shared" si="8"/>
        <v/>
      </c>
      <c r="AB15" s="43" t="str">
        <f t="shared" si="8"/>
        <v/>
      </c>
      <c r="AC15" s="43" t="str">
        <f t="shared" si="8"/>
        <v/>
      </c>
      <c r="AD15" s="43" t="str">
        <f t="shared" si="8"/>
        <v/>
      </c>
      <c r="AE15" s="43" t="str">
        <f t="shared" si="8"/>
        <v/>
      </c>
      <c r="AF15" s="43" t="str">
        <f t="shared" si="8"/>
        <v/>
      </c>
      <c r="AG15" s="43" t="str">
        <f t="shared" si="8"/>
        <v/>
      </c>
      <c r="AH15" s="43" t="str">
        <f t="shared" si="8"/>
        <v/>
      </c>
      <c r="AI15" s="43" t="str">
        <f t="shared" si="8"/>
        <v/>
      </c>
      <c r="AJ15" s="43">
        <f t="shared" si="3"/>
        <v>0</v>
      </c>
    </row>
    <row r="16" spans="2:41" x14ac:dyDescent="0.25">
      <c r="C16" s="41" t="s">
        <v>148</v>
      </c>
      <c r="D16" s="57">
        <f t="shared" si="4"/>
        <v>0</v>
      </c>
      <c r="F16" s="43">
        <v>0</v>
      </c>
      <c r="G16" s="43">
        <v>0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0</v>
      </c>
      <c r="AB16" s="43">
        <v>0</v>
      </c>
      <c r="AC16" s="43">
        <v>0</v>
      </c>
      <c r="AD16" s="43">
        <v>0</v>
      </c>
      <c r="AE16" s="43">
        <v>0</v>
      </c>
      <c r="AF16" s="43">
        <v>0</v>
      </c>
      <c r="AG16" s="43">
        <v>0</v>
      </c>
      <c r="AH16" s="43">
        <v>0</v>
      </c>
      <c r="AI16" s="43">
        <f>'Input sheet'!$E$13*(1/((1+$D$2)^AI4))</f>
        <v>0</v>
      </c>
      <c r="AJ16" s="43">
        <f t="shared" si="3"/>
        <v>0</v>
      </c>
    </row>
    <row r="17" spans="2:41" x14ac:dyDescent="0.25">
      <c r="C17" s="27" t="s">
        <v>108</v>
      </c>
      <c r="D17" s="57">
        <f t="shared" si="4"/>
        <v>16632917.117530763</v>
      </c>
      <c r="F17" s="43">
        <f>SUM(F10:F16)</f>
        <v>859308.29714345746</v>
      </c>
      <c r="G17" s="43">
        <f t="shared" ref="G17:AJ17" si="9">SUM(G10:G16)</f>
        <v>830474.07423793932</v>
      </c>
      <c r="H17" s="43">
        <f t="shared" si="9"/>
        <v>802711.45082469238</v>
      </c>
      <c r="I17" s="43">
        <f t="shared" si="9"/>
        <v>775977.85787813703</v>
      </c>
      <c r="J17" s="43">
        <f t="shared" si="9"/>
        <v>750232.48808639403</v>
      </c>
      <c r="K17" s="43">
        <f t="shared" si="9"/>
        <v>725436.22102817579</v>
      </c>
      <c r="L17" s="43">
        <f t="shared" si="9"/>
        <v>701551.55158512888</v>
      </c>
      <c r="M17" s="43">
        <f t="shared" si="9"/>
        <v>678542.52144778008</v>
      </c>
      <c r="N17" s="43">
        <f t="shared" si="9"/>
        <v>656374.65357953194</v>
      </c>
      <c r="O17" s="43">
        <f t="shared" si="9"/>
        <v>635014.88950915495</v>
      </c>
      <c r="P17" s="43">
        <f t="shared" si="9"/>
        <v>614431.52932797582</v>
      </c>
      <c r="Q17" s="43">
        <f t="shared" si="9"/>
        <v>594594.17427343084</v>
      </c>
      <c r="R17" s="43">
        <f t="shared" si="9"/>
        <v>575473.67178589874</v>
      </c>
      <c r="S17" s="43">
        <f t="shared" si="9"/>
        <v>557042.06293072738</v>
      </c>
      <c r="T17" s="43">
        <f t="shared" si="9"/>
        <v>539272.53208214953</v>
      </c>
      <c r="U17" s="43">
        <f t="shared" si="9"/>
        <v>522139.35877034784</v>
      </c>
      <c r="V17" s="43">
        <f t="shared" si="9"/>
        <v>505617.87159729359</v>
      </c>
      <c r="W17" s="43">
        <f t="shared" si="9"/>
        <v>489684.40413114754</v>
      </c>
      <c r="X17" s="43">
        <f t="shared" si="9"/>
        <v>474316.25269299734</v>
      </c>
      <c r="Y17" s="43">
        <f t="shared" si="9"/>
        <v>459491.63595350477</v>
      </c>
      <c r="Z17" s="43">
        <f t="shared" si="9"/>
        <v>445189.65626067627</v>
      </c>
      <c r="AA17" s="43">
        <f t="shared" si="9"/>
        <v>431390.26262343762</v>
      </c>
      <c r="AB17" s="43">
        <f t="shared" si="9"/>
        <v>418074.21527901228</v>
      </c>
      <c r="AC17" s="43">
        <f t="shared" si="9"/>
        <v>405223.05177527812</v>
      </c>
      <c r="AD17" s="43">
        <f t="shared" si="9"/>
        <v>392819.05450229772</v>
      </c>
      <c r="AE17" s="43">
        <f t="shared" si="9"/>
        <v>380845.21961011982</v>
      </c>
      <c r="AF17" s="43">
        <f t="shared" si="9"/>
        <v>369285.22725270712</v>
      </c>
      <c r="AG17" s="43">
        <f t="shared" si="9"/>
        <v>358123.41310049861</v>
      </c>
      <c r="AH17" s="43">
        <f t="shared" si="9"/>
        <v>347344.74106662732</v>
      </c>
      <c r="AI17" s="43">
        <f t="shared" si="9"/>
        <v>336934.77719423978</v>
      </c>
      <c r="AJ17" s="43">
        <f t="shared" si="9"/>
        <v>16632917.117530763</v>
      </c>
    </row>
    <row r="18" spans="2:41" x14ac:dyDescent="0.25">
      <c r="C18" s="27"/>
      <c r="D18" s="42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</row>
    <row r="19" spans="2:41" x14ac:dyDescent="0.25">
      <c r="C19" s="27" t="s">
        <v>316</v>
      </c>
      <c r="D19" s="42">
        <f>D17-D7</f>
        <v>-10218135.140654318</v>
      </c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58">
        <f>AJ17-AJ7</f>
        <v>-10218135.140654318</v>
      </c>
    </row>
    <row r="20" spans="2:41" x14ac:dyDescent="0.25">
      <c r="C20" s="27"/>
      <c r="D20" s="42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</row>
    <row r="21" spans="2:41" x14ac:dyDescent="0.25">
      <c r="C21" s="27" t="s">
        <v>446</v>
      </c>
      <c r="D21" s="52">
        <f>D17/D7</f>
        <v>0.61945122141202136</v>
      </c>
      <c r="AJ21" s="53">
        <f>AJ17/AJ7</f>
        <v>0.61945122141202136</v>
      </c>
    </row>
    <row r="22" spans="2:41" x14ac:dyDescent="0.25">
      <c r="D22" s="42"/>
    </row>
    <row r="23" spans="2:41" x14ac:dyDescent="0.25">
      <c r="B23" s="27" t="s">
        <v>109</v>
      </c>
      <c r="C23" s="27" t="s">
        <v>112</v>
      </c>
      <c r="D23" s="42"/>
    </row>
    <row r="24" spans="2:41" x14ac:dyDescent="0.25">
      <c r="B24" s="27"/>
      <c r="C24" s="41" t="s">
        <v>110</v>
      </c>
      <c r="D24" s="42"/>
    </row>
    <row r="25" spans="2:41" x14ac:dyDescent="0.25">
      <c r="C25" s="41" t="s">
        <v>371</v>
      </c>
      <c r="D25" s="42">
        <f>'Input sheet'!E16</f>
        <v>80</v>
      </c>
      <c r="F25" s="31">
        <f>D25</f>
        <v>80</v>
      </c>
      <c r="G25" s="31">
        <f>F25*(1+$D$28)</f>
        <v>81.599999999999994</v>
      </c>
      <c r="H25" s="31">
        <f>G25*(1+$D$28)</f>
        <v>83.231999999999999</v>
      </c>
      <c r="I25" s="31">
        <f t="shared" ref="I25:AI25" si="10">H25*(1+$D$28)</f>
        <v>84.896640000000005</v>
      </c>
      <c r="J25" s="31">
        <f t="shared" si="10"/>
        <v>86.594572800000009</v>
      </c>
      <c r="K25" s="31">
        <f t="shared" si="10"/>
        <v>88.326464256000008</v>
      </c>
      <c r="L25" s="31">
        <f t="shared" si="10"/>
        <v>90.092993541120009</v>
      </c>
      <c r="M25" s="31">
        <f t="shared" si="10"/>
        <v>91.894853411942407</v>
      </c>
      <c r="N25" s="31">
        <f t="shared" si="10"/>
        <v>93.732750480181252</v>
      </c>
      <c r="O25" s="31">
        <f t="shared" si="10"/>
        <v>95.607405489784881</v>
      </c>
      <c r="P25" s="31">
        <f t="shared" si="10"/>
        <v>97.519553599580576</v>
      </c>
      <c r="Q25" s="31">
        <f t="shared" si="10"/>
        <v>99.469944671572193</v>
      </c>
      <c r="R25" s="31">
        <f t="shared" si="10"/>
        <v>101.45934356500364</v>
      </c>
      <c r="S25" s="31">
        <f t="shared" si="10"/>
        <v>103.48853043630371</v>
      </c>
      <c r="T25" s="31">
        <f t="shared" si="10"/>
        <v>105.55830104502978</v>
      </c>
      <c r="U25" s="31">
        <f t="shared" si="10"/>
        <v>107.66946706593038</v>
      </c>
      <c r="V25" s="31">
        <f t="shared" si="10"/>
        <v>109.82285640724899</v>
      </c>
      <c r="W25" s="31">
        <f t="shared" si="10"/>
        <v>112.01931353539398</v>
      </c>
      <c r="X25" s="31">
        <f t="shared" si="10"/>
        <v>114.25969980610186</v>
      </c>
      <c r="Y25" s="31">
        <f t="shared" si="10"/>
        <v>116.5448938022239</v>
      </c>
      <c r="Z25" s="31">
        <f t="shared" si="10"/>
        <v>118.87579167826837</v>
      </c>
      <c r="AA25" s="31">
        <f t="shared" si="10"/>
        <v>121.25330751183374</v>
      </c>
      <c r="AB25" s="31">
        <f t="shared" si="10"/>
        <v>123.67837366207041</v>
      </c>
      <c r="AC25" s="31">
        <f t="shared" si="10"/>
        <v>126.15194113531183</v>
      </c>
      <c r="AD25" s="31">
        <f t="shared" si="10"/>
        <v>128.67497995801807</v>
      </c>
      <c r="AE25" s="31">
        <f t="shared" si="10"/>
        <v>131.24847955717843</v>
      </c>
      <c r="AF25" s="31">
        <f t="shared" si="10"/>
        <v>133.87344914832201</v>
      </c>
      <c r="AG25" s="31">
        <f t="shared" si="10"/>
        <v>136.55091813128846</v>
      </c>
      <c r="AH25" s="31">
        <f t="shared" si="10"/>
        <v>139.28193649391423</v>
      </c>
      <c r="AI25" s="31">
        <f t="shared" si="10"/>
        <v>142.06757522379252</v>
      </c>
    </row>
    <row r="26" spans="2:41" x14ac:dyDescent="0.25">
      <c r="C26" s="41" t="s">
        <v>116</v>
      </c>
      <c r="D26" s="1">
        <f>'Input sheet'!E17</f>
        <v>0.25</v>
      </c>
      <c r="F26" s="31">
        <f>F25*$D$26</f>
        <v>20</v>
      </c>
      <c r="G26" s="31">
        <f t="shared" ref="G26:AI26" si="11">G25*$D$26</f>
        <v>20.399999999999999</v>
      </c>
      <c r="H26" s="31">
        <f>H25*$D$26</f>
        <v>20.808</v>
      </c>
      <c r="I26" s="31">
        <f t="shared" si="11"/>
        <v>21.224160000000001</v>
      </c>
      <c r="J26" s="31">
        <f t="shared" si="11"/>
        <v>21.648643200000002</v>
      </c>
      <c r="K26" s="31">
        <f t="shared" si="11"/>
        <v>22.081616064000002</v>
      </c>
      <c r="L26" s="31">
        <f t="shared" si="11"/>
        <v>22.523248385280002</v>
      </c>
      <c r="M26" s="31">
        <f t="shared" si="11"/>
        <v>22.973713352985602</v>
      </c>
      <c r="N26" s="31">
        <f t="shared" si="11"/>
        <v>23.433187620045313</v>
      </c>
      <c r="O26" s="31">
        <f t="shared" si="11"/>
        <v>23.90185137244622</v>
      </c>
      <c r="P26" s="31">
        <f t="shared" si="11"/>
        <v>24.379888399895144</v>
      </c>
      <c r="Q26" s="31">
        <f t="shared" si="11"/>
        <v>24.867486167893048</v>
      </c>
      <c r="R26" s="31">
        <f t="shared" si="11"/>
        <v>25.364835891250909</v>
      </c>
      <c r="S26" s="31">
        <f t="shared" si="11"/>
        <v>25.872132609075926</v>
      </c>
      <c r="T26" s="31">
        <f t="shared" si="11"/>
        <v>26.389575261257445</v>
      </c>
      <c r="U26" s="31">
        <f t="shared" si="11"/>
        <v>26.917366766482594</v>
      </c>
      <c r="V26" s="31">
        <f t="shared" si="11"/>
        <v>27.455714101812248</v>
      </c>
      <c r="W26" s="31">
        <f t="shared" si="11"/>
        <v>28.004828383848494</v>
      </c>
      <c r="X26" s="31">
        <f t="shared" si="11"/>
        <v>28.564924951525466</v>
      </c>
      <c r="Y26" s="31">
        <f t="shared" si="11"/>
        <v>29.136223450555974</v>
      </c>
      <c r="Z26" s="31">
        <f t="shared" si="11"/>
        <v>29.718947919567093</v>
      </c>
      <c r="AA26" s="31">
        <f t="shared" si="11"/>
        <v>30.313326877958435</v>
      </c>
      <c r="AB26" s="31">
        <f t="shared" si="11"/>
        <v>30.919593415517603</v>
      </c>
      <c r="AC26" s="31">
        <f t="shared" si="11"/>
        <v>31.537985283827958</v>
      </c>
      <c r="AD26" s="31">
        <f t="shared" si="11"/>
        <v>32.168744989504518</v>
      </c>
      <c r="AE26" s="31">
        <f t="shared" si="11"/>
        <v>32.812119889294607</v>
      </c>
      <c r="AF26" s="31">
        <f t="shared" si="11"/>
        <v>33.468362287080502</v>
      </c>
      <c r="AG26" s="31">
        <f t="shared" si="11"/>
        <v>34.137729532822114</v>
      </c>
      <c r="AH26" s="31">
        <f t="shared" si="11"/>
        <v>34.820484123478558</v>
      </c>
      <c r="AI26" s="31">
        <f t="shared" si="11"/>
        <v>35.516893805948129</v>
      </c>
    </row>
    <row r="27" spans="2:41" x14ac:dyDescent="0.25">
      <c r="C27" s="41" t="s">
        <v>115</v>
      </c>
      <c r="D27" s="1">
        <f>100%-D26</f>
        <v>0.75</v>
      </c>
      <c r="F27" s="31">
        <f>F25*$D$27</f>
        <v>60</v>
      </c>
      <c r="G27" s="31">
        <f t="shared" ref="G27:AI27" si="12">G25*$D$27</f>
        <v>61.199999999999996</v>
      </c>
      <c r="H27" s="31">
        <f t="shared" si="12"/>
        <v>62.423999999999999</v>
      </c>
      <c r="I27" s="31">
        <f t="shared" si="12"/>
        <v>63.672480000000007</v>
      </c>
      <c r="J27" s="31">
        <f t="shared" si="12"/>
        <v>64.945929599999999</v>
      </c>
      <c r="K27" s="31">
        <f t="shared" si="12"/>
        <v>66.244848192000006</v>
      </c>
      <c r="L27" s="31">
        <f t="shared" si="12"/>
        <v>67.56974515584001</v>
      </c>
      <c r="M27" s="31">
        <f t="shared" si="12"/>
        <v>68.921140058956809</v>
      </c>
      <c r="N27" s="31">
        <f t="shared" si="12"/>
        <v>70.299562860135936</v>
      </c>
      <c r="O27" s="31">
        <f t="shared" si="12"/>
        <v>71.705554117338664</v>
      </c>
      <c r="P27" s="31">
        <f t="shared" si="12"/>
        <v>73.139665199685425</v>
      </c>
      <c r="Q27" s="31">
        <f t="shared" si="12"/>
        <v>74.602458503679145</v>
      </c>
      <c r="R27" s="31">
        <f t="shared" si="12"/>
        <v>76.09450767375273</v>
      </c>
      <c r="S27" s="31">
        <f t="shared" si="12"/>
        <v>77.616397827227786</v>
      </c>
      <c r="T27" s="31">
        <f t="shared" si="12"/>
        <v>79.168725783772331</v>
      </c>
      <c r="U27" s="31">
        <f t="shared" si="12"/>
        <v>80.75210029944779</v>
      </c>
      <c r="V27" s="31">
        <f t="shared" si="12"/>
        <v>82.367142305436744</v>
      </c>
      <c r="W27" s="31">
        <f t="shared" si="12"/>
        <v>84.014485151545486</v>
      </c>
      <c r="X27" s="31">
        <f t="shared" si="12"/>
        <v>85.694774854576394</v>
      </c>
      <c r="Y27" s="31">
        <f t="shared" si="12"/>
        <v>87.408670351667922</v>
      </c>
      <c r="Z27" s="31">
        <f t="shared" si="12"/>
        <v>89.156843758701285</v>
      </c>
      <c r="AA27" s="31">
        <f t="shared" si="12"/>
        <v>90.939980633875308</v>
      </c>
      <c r="AB27" s="31">
        <f t="shared" si="12"/>
        <v>92.758780246552817</v>
      </c>
      <c r="AC27" s="31">
        <f t="shared" si="12"/>
        <v>94.613955851483865</v>
      </c>
      <c r="AD27" s="31">
        <f t="shared" si="12"/>
        <v>96.506234968513553</v>
      </c>
      <c r="AE27" s="31">
        <f t="shared" si="12"/>
        <v>98.436359667883821</v>
      </c>
      <c r="AF27" s="31">
        <f t="shared" si="12"/>
        <v>100.4050868612415</v>
      </c>
      <c r="AG27" s="31">
        <f t="shared" si="12"/>
        <v>102.41318859846635</v>
      </c>
      <c r="AH27" s="31">
        <f t="shared" si="12"/>
        <v>104.46145237043567</v>
      </c>
      <c r="AI27" s="31">
        <f t="shared" si="12"/>
        <v>106.55068141784439</v>
      </c>
    </row>
    <row r="28" spans="2:41" x14ac:dyDescent="0.25">
      <c r="C28" s="41" t="s">
        <v>138</v>
      </c>
      <c r="D28" s="1">
        <f>'Input sheet'!E18</f>
        <v>0.02</v>
      </c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M28" s="31"/>
      <c r="AN28" s="31"/>
      <c r="AO28" s="31"/>
    </row>
    <row r="29" spans="2:41" x14ac:dyDescent="0.25">
      <c r="C29" s="41" t="s">
        <v>441</v>
      </c>
      <c r="D29" s="188">
        <v>365</v>
      </c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M29" s="31"/>
      <c r="AN29" s="31"/>
      <c r="AO29" s="31"/>
    </row>
    <row r="30" spans="2:41" x14ac:dyDescent="0.25">
      <c r="C30" s="41" t="s">
        <v>179</v>
      </c>
      <c r="D30" s="1">
        <v>1</v>
      </c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M30" s="31"/>
      <c r="AN30" s="31"/>
      <c r="AO30" s="31"/>
    </row>
    <row r="31" spans="2:41" x14ac:dyDescent="0.25">
      <c r="C31" s="41" t="s">
        <v>180</v>
      </c>
      <c r="D31" s="1">
        <v>0.81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M31" s="31"/>
      <c r="AN31" s="31"/>
      <c r="AO31" s="31"/>
    </row>
    <row r="32" spans="2:41" x14ac:dyDescent="0.25">
      <c r="C32" s="41" t="s">
        <v>181</v>
      </c>
      <c r="D32" s="1">
        <v>0.19</v>
      </c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M32" s="31"/>
      <c r="AN32" s="31"/>
      <c r="AO32" s="31"/>
    </row>
    <row r="33" spans="2:41" x14ac:dyDescent="0.25">
      <c r="C33" s="41" t="s">
        <v>130</v>
      </c>
      <c r="D33" s="42">
        <f>'Input sheet'!E19</f>
        <v>41</v>
      </c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M33" s="31"/>
      <c r="AN33" s="31"/>
      <c r="AO33" s="31"/>
    </row>
    <row r="34" spans="2:41" x14ac:dyDescent="0.25">
      <c r="C34" s="41" t="s">
        <v>324</v>
      </c>
      <c r="D34" s="42">
        <f>'Input sheet'!E20</f>
        <v>60</v>
      </c>
      <c r="AM34" s="31"/>
      <c r="AN34" s="31"/>
      <c r="AO34" s="31"/>
    </row>
    <row r="35" spans="2:41" x14ac:dyDescent="0.25">
      <c r="C35" s="41" t="s">
        <v>111</v>
      </c>
      <c r="D35" s="42">
        <f>'Input sheet'!E21</f>
        <v>39.700000000000003</v>
      </c>
      <c r="AM35" s="31"/>
      <c r="AN35" s="31"/>
      <c r="AO35" s="31"/>
    </row>
    <row r="36" spans="2:41" x14ac:dyDescent="0.25">
      <c r="C36" s="41" t="s">
        <v>326</v>
      </c>
      <c r="D36" s="46">
        <f>(D35/D33)-(D35/D34)</f>
        <v>0.30662601626016261</v>
      </c>
      <c r="AM36" s="31"/>
      <c r="AN36" s="31"/>
      <c r="AO36" s="31"/>
    </row>
    <row r="37" spans="2:41" x14ac:dyDescent="0.25">
      <c r="C37" s="41" t="s">
        <v>160</v>
      </c>
      <c r="AM37" s="31"/>
      <c r="AN37" s="31"/>
      <c r="AO37" s="31"/>
    </row>
    <row r="38" spans="2:41" x14ac:dyDescent="0.25">
      <c r="B38" s="68" t="s">
        <v>460</v>
      </c>
      <c r="C38" s="41" t="s">
        <v>157</v>
      </c>
      <c r="D38" s="46"/>
      <c r="AM38" s="31"/>
      <c r="AN38" s="31"/>
      <c r="AO38" s="31"/>
    </row>
    <row r="39" spans="2:41" x14ac:dyDescent="0.25">
      <c r="B39" s="68"/>
      <c r="C39" s="41" t="s">
        <v>327</v>
      </c>
      <c r="D39" s="46">
        <v>15</v>
      </c>
      <c r="AM39" s="31"/>
      <c r="AN39" s="31"/>
      <c r="AO39" s="31"/>
    </row>
    <row r="40" spans="2:41" x14ac:dyDescent="0.25">
      <c r="B40" s="68"/>
      <c r="C40" s="41" t="s">
        <v>159</v>
      </c>
      <c r="D40" s="46">
        <v>1.7</v>
      </c>
      <c r="AM40" s="31"/>
      <c r="AN40" s="31"/>
      <c r="AO40" s="31"/>
    </row>
    <row r="41" spans="2:41" x14ac:dyDescent="0.25">
      <c r="B41" s="68"/>
      <c r="C41" s="41" t="s">
        <v>332</v>
      </c>
      <c r="D41" s="46">
        <v>25.5</v>
      </c>
      <c r="AM41" s="31"/>
      <c r="AN41" s="31"/>
      <c r="AO41" s="31"/>
    </row>
    <row r="42" spans="2:41" x14ac:dyDescent="0.25">
      <c r="B42" s="68"/>
      <c r="C42" s="49" t="s">
        <v>459</v>
      </c>
      <c r="D42" s="46">
        <f>D41*114.8/102.8</f>
        <v>28.476653696498055</v>
      </c>
      <c r="AM42" s="31"/>
      <c r="AN42" s="31"/>
      <c r="AO42" s="31"/>
    </row>
    <row r="43" spans="2:41" x14ac:dyDescent="0.25">
      <c r="B43" s="68" t="s">
        <v>65</v>
      </c>
      <c r="C43" s="41" t="s">
        <v>31</v>
      </c>
      <c r="D43" s="46"/>
      <c r="AM43" s="31"/>
      <c r="AN43" s="31"/>
      <c r="AO43" s="31"/>
    </row>
    <row r="44" spans="2:41" x14ac:dyDescent="0.25">
      <c r="C44" s="41" t="s">
        <v>327</v>
      </c>
      <c r="D44" s="46">
        <v>26.81</v>
      </c>
      <c r="H44" s="46"/>
      <c r="AM44" s="31"/>
      <c r="AN44" s="31"/>
      <c r="AO44" s="31"/>
    </row>
    <row r="45" spans="2:41" x14ac:dyDescent="0.25">
      <c r="C45" s="41" t="s">
        <v>159</v>
      </c>
      <c r="D45" s="46">
        <v>1</v>
      </c>
      <c r="AM45" s="31"/>
      <c r="AN45" s="31"/>
      <c r="AO45" s="31"/>
    </row>
    <row r="46" spans="2:41" x14ac:dyDescent="0.25">
      <c r="C46" s="41" t="s">
        <v>328</v>
      </c>
      <c r="D46" s="46">
        <v>21.36</v>
      </c>
      <c r="AM46" s="31"/>
      <c r="AN46" s="31"/>
      <c r="AO46" s="31"/>
    </row>
    <row r="47" spans="2:41" x14ac:dyDescent="0.25">
      <c r="C47" s="41" t="s">
        <v>332</v>
      </c>
      <c r="D47" s="46">
        <f>(D44*D45)+D46</f>
        <v>48.17</v>
      </c>
      <c r="AM47" s="31"/>
      <c r="AN47" s="31"/>
      <c r="AO47" s="31"/>
    </row>
    <row r="48" spans="2:41" x14ac:dyDescent="0.25">
      <c r="C48" s="49" t="s">
        <v>459</v>
      </c>
      <c r="D48" s="46">
        <f>D47*114.8/102.8</f>
        <v>53.792957198443581</v>
      </c>
      <c r="AM48" s="31"/>
      <c r="AN48" s="31"/>
      <c r="AO48" s="31"/>
    </row>
    <row r="49" spans="2:41" x14ac:dyDescent="0.25">
      <c r="D49" s="46"/>
      <c r="AM49" s="31"/>
      <c r="AN49" s="31"/>
      <c r="AO49" s="31"/>
    </row>
    <row r="50" spans="2:41" x14ac:dyDescent="0.25">
      <c r="C50" s="30" t="s">
        <v>172</v>
      </c>
      <c r="D50" s="46">
        <f>D48</f>
        <v>53.792957198443581</v>
      </c>
      <c r="F50" s="32">
        <f t="shared" ref="F50:AI50" si="13">$D$36*$D$50*F26*$D$29</f>
        <v>120408.53723086901</v>
      </c>
      <c r="G50" s="32">
        <f t="shared" si="13"/>
        <v>122816.70797548638</v>
      </c>
      <c r="H50" s="32">
        <f t="shared" si="13"/>
        <v>125273.04213499613</v>
      </c>
      <c r="I50" s="32">
        <f t="shared" si="13"/>
        <v>127778.50297769606</v>
      </c>
      <c r="J50" s="32">
        <f t="shared" si="13"/>
        <v>130334.07303724998</v>
      </c>
      <c r="K50" s="32">
        <f t="shared" si="13"/>
        <v>132940.75449799499</v>
      </c>
      <c r="L50" s="32">
        <f t="shared" si="13"/>
        <v>135599.5695879549</v>
      </c>
      <c r="M50" s="32">
        <f t="shared" si="13"/>
        <v>138311.56097971398</v>
      </c>
      <c r="N50" s="32">
        <f t="shared" si="13"/>
        <v>141077.79219930826</v>
      </c>
      <c r="O50" s="32">
        <f t="shared" si="13"/>
        <v>143899.34804329442</v>
      </c>
      <c r="P50" s="32">
        <f t="shared" si="13"/>
        <v>146777.3350041603</v>
      </c>
      <c r="Q50" s="32">
        <f t="shared" si="13"/>
        <v>149712.88170424351</v>
      </c>
      <c r="R50" s="32">
        <f t="shared" si="13"/>
        <v>152707.13933832839</v>
      </c>
      <c r="S50" s="32">
        <f t="shared" si="13"/>
        <v>155761.28212509496</v>
      </c>
      <c r="T50" s="32">
        <f t="shared" si="13"/>
        <v>158876.50776759686</v>
      </c>
      <c r="U50" s="32">
        <f t="shared" si="13"/>
        <v>162054.0379229488</v>
      </c>
      <c r="V50" s="32">
        <f t="shared" si="13"/>
        <v>165295.1186814078</v>
      </c>
      <c r="W50" s="32">
        <f t="shared" si="13"/>
        <v>168601.02105503593</v>
      </c>
      <c r="X50" s="32">
        <f t="shared" si="13"/>
        <v>171973.04147613668</v>
      </c>
      <c r="Y50" s="32">
        <f t="shared" si="13"/>
        <v>175412.50230565941</v>
      </c>
      <c r="Z50" s="32">
        <f t="shared" si="13"/>
        <v>178920.75235177259</v>
      </c>
      <c r="AA50" s="32">
        <f t="shared" si="13"/>
        <v>182499.16739880803</v>
      </c>
      <c r="AB50" s="32">
        <f t="shared" si="13"/>
        <v>186149.1507467842</v>
      </c>
      <c r="AC50" s="32">
        <f t="shared" si="13"/>
        <v>189872.13376171989</v>
      </c>
      <c r="AD50" s="32">
        <f t="shared" si="13"/>
        <v>193669.57643695432</v>
      </c>
      <c r="AE50" s="32">
        <f t="shared" si="13"/>
        <v>197542.96796569336</v>
      </c>
      <c r="AF50" s="32">
        <f t="shared" si="13"/>
        <v>201493.82732500727</v>
      </c>
      <c r="AG50" s="32">
        <f t="shared" si="13"/>
        <v>205523.7038715074</v>
      </c>
      <c r="AH50" s="32">
        <f t="shared" si="13"/>
        <v>209634.17794893758</v>
      </c>
      <c r="AI50" s="32">
        <f t="shared" si="13"/>
        <v>213826.86150791633</v>
      </c>
      <c r="AM50" s="31"/>
      <c r="AN50" s="31"/>
      <c r="AO50" s="31"/>
    </row>
    <row r="51" spans="2:41" x14ac:dyDescent="0.25">
      <c r="C51" s="30" t="s">
        <v>173</v>
      </c>
      <c r="D51" s="46">
        <f>D42</f>
        <v>28.476653696498055</v>
      </c>
      <c r="F51" s="32">
        <f t="shared" ref="F51:AI51" si="14">$D$36*$D$51*F27*$D$29</f>
        <v>191223.85505836576</v>
      </c>
      <c r="G51" s="32">
        <f t="shared" si="14"/>
        <v>195048.33215953308</v>
      </c>
      <c r="H51" s="32">
        <f t="shared" si="14"/>
        <v>198949.29880272373</v>
      </c>
      <c r="I51" s="32">
        <f t="shared" si="14"/>
        <v>202928.28477877824</v>
      </c>
      <c r="J51" s="32">
        <f t="shared" si="14"/>
        <v>206986.85047435379</v>
      </c>
      <c r="K51" s="32">
        <f t="shared" si="14"/>
        <v>211126.58748384088</v>
      </c>
      <c r="L51" s="32">
        <f t="shared" si="14"/>
        <v>215349.1192335177</v>
      </c>
      <c r="M51" s="32">
        <f t="shared" si="14"/>
        <v>219656.10161818805</v>
      </c>
      <c r="N51" s="32">
        <f t="shared" si="14"/>
        <v>224049.22365055181</v>
      </c>
      <c r="O51" s="32">
        <f t="shared" si="14"/>
        <v>228530.20812356289</v>
      </c>
      <c r="P51" s="32">
        <f t="shared" si="14"/>
        <v>233100.81228603408</v>
      </c>
      <c r="Q51" s="32">
        <f t="shared" si="14"/>
        <v>237762.82853175481</v>
      </c>
      <c r="R51" s="32">
        <f t="shared" si="14"/>
        <v>242518.08510238989</v>
      </c>
      <c r="S51" s="32">
        <f t="shared" si="14"/>
        <v>247368.44680443767</v>
      </c>
      <c r="T51" s="32">
        <f t="shared" si="14"/>
        <v>252315.81574052642</v>
      </c>
      <c r="U51" s="32">
        <f t="shared" si="14"/>
        <v>257362.13205533699</v>
      </c>
      <c r="V51" s="32">
        <f t="shared" si="14"/>
        <v>262509.37469644373</v>
      </c>
      <c r="W51" s="32">
        <f t="shared" si="14"/>
        <v>267759.56219037261</v>
      </c>
      <c r="X51" s="32">
        <f t="shared" si="14"/>
        <v>273114.75343418011</v>
      </c>
      <c r="Y51" s="32">
        <f t="shared" si="14"/>
        <v>278577.04850286368</v>
      </c>
      <c r="Z51" s="32">
        <f t="shared" si="14"/>
        <v>284148.58947292098</v>
      </c>
      <c r="AA51" s="32">
        <f t="shared" si="14"/>
        <v>289831.56126237934</v>
      </c>
      <c r="AB51" s="32">
        <f t="shared" si="14"/>
        <v>295628.19248762698</v>
      </c>
      <c r="AC51" s="32">
        <f t="shared" si="14"/>
        <v>301540.75633737945</v>
      </c>
      <c r="AD51" s="32">
        <f t="shared" si="14"/>
        <v>307571.5714641271</v>
      </c>
      <c r="AE51" s="32">
        <f t="shared" si="14"/>
        <v>313723.00289340963</v>
      </c>
      <c r="AF51" s="32">
        <f t="shared" si="14"/>
        <v>319997.46295127785</v>
      </c>
      <c r="AG51" s="32">
        <f t="shared" si="14"/>
        <v>326397.41221030348</v>
      </c>
      <c r="AH51" s="32">
        <f t="shared" si="14"/>
        <v>332925.3604545095</v>
      </c>
      <c r="AI51" s="32">
        <f t="shared" si="14"/>
        <v>339583.86766359973</v>
      </c>
      <c r="AM51" s="31"/>
      <c r="AN51" s="31"/>
      <c r="AO51" s="31"/>
    </row>
    <row r="52" spans="2:41" x14ac:dyDescent="0.25">
      <c r="C52" s="30" t="s">
        <v>149</v>
      </c>
      <c r="F52" s="32">
        <f t="shared" ref="F52:AI52" si="15">(($D$50*F26)+($D$51*F27))*$D$36*$D$29</f>
        <v>311632.39228923479</v>
      </c>
      <c r="G52" s="32">
        <f t="shared" si="15"/>
        <v>317865.04013501946</v>
      </c>
      <c r="H52" s="32">
        <f t="shared" si="15"/>
        <v>324222.34093771991</v>
      </c>
      <c r="I52" s="32">
        <f t="shared" si="15"/>
        <v>330706.78775647434</v>
      </c>
      <c r="J52" s="32">
        <f t="shared" si="15"/>
        <v>337320.92351160379</v>
      </c>
      <c r="K52" s="32">
        <f t="shared" si="15"/>
        <v>344067.34198183584</v>
      </c>
      <c r="L52" s="32">
        <f t="shared" si="15"/>
        <v>350948.68882147264</v>
      </c>
      <c r="M52" s="32">
        <f t="shared" si="15"/>
        <v>357967.662597902</v>
      </c>
      <c r="N52" s="32">
        <f t="shared" si="15"/>
        <v>365127.01584986004</v>
      </c>
      <c r="O52" s="32">
        <f t="shared" si="15"/>
        <v>372429.55616685731</v>
      </c>
      <c r="P52" s="32">
        <f t="shared" si="15"/>
        <v>379878.14729019435</v>
      </c>
      <c r="Q52" s="32">
        <f t="shared" si="15"/>
        <v>387475.71023599838</v>
      </c>
      <c r="R52" s="32">
        <f t="shared" si="15"/>
        <v>395225.2244407183</v>
      </c>
      <c r="S52" s="32">
        <f t="shared" si="15"/>
        <v>403129.72892953263</v>
      </c>
      <c r="T52" s="32">
        <f t="shared" si="15"/>
        <v>411192.32350812329</v>
      </c>
      <c r="U52" s="32">
        <f t="shared" si="15"/>
        <v>419416.16997828573</v>
      </c>
      <c r="V52" s="32">
        <f t="shared" si="15"/>
        <v>427804.49337785144</v>
      </c>
      <c r="W52" s="32">
        <f t="shared" si="15"/>
        <v>436360.58324540849</v>
      </c>
      <c r="X52" s="32">
        <f t="shared" si="15"/>
        <v>445087.79491031676</v>
      </c>
      <c r="Y52" s="32">
        <f t="shared" si="15"/>
        <v>453989.55080852308</v>
      </c>
      <c r="Z52" s="32">
        <f t="shared" si="15"/>
        <v>463069.34182469355</v>
      </c>
      <c r="AA52" s="32">
        <f t="shared" si="15"/>
        <v>472330.7286611874</v>
      </c>
      <c r="AB52" s="32">
        <f t="shared" si="15"/>
        <v>481777.34323441115</v>
      </c>
      <c r="AC52" s="32">
        <f t="shared" si="15"/>
        <v>491412.89009909937</v>
      </c>
      <c r="AD52" s="32">
        <f t="shared" si="15"/>
        <v>501241.14790108136</v>
      </c>
      <c r="AE52" s="32">
        <f t="shared" si="15"/>
        <v>511265.97085910302</v>
      </c>
      <c r="AF52" s="32">
        <f t="shared" si="15"/>
        <v>521491.29027628503</v>
      </c>
      <c r="AG52" s="32">
        <f t="shared" si="15"/>
        <v>531921.11608181091</v>
      </c>
      <c r="AH52" s="32">
        <f t="shared" si="15"/>
        <v>542559.53840344702</v>
      </c>
      <c r="AI52" s="32">
        <f t="shared" si="15"/>
        <v>553410.72917151602</v>
      </c>
      <c r="AM52" s="31"/>
      <c r="AN52" s="31"/>
      <c r="AO52" s="31"/>
    </row>
    <row r="53" spans="2:41" x14ac:dyDescent="0.25">
      <c r="C53" s="30"/>
      <c r="AJ53" s="66"/>
      <c r="AM53" s="32"/>
      <c r="AN53" s="32"/>
      <c r="AO53" s="32"/>
    </row>
    <row r="54" spans="2:41" x14ac:dyDescent="0.25">
      <c r="C54" s="30" t="s">
        <v>174</v>
      </c>
      <c r="F54" s="32">
        <f t="shared" ref="F54:AI54" si="16">F50*(1/((1+$D$2)^F$4))</f>
        <v>115777.43964506635</v>
      </c>
      <c r="G54" s="32">
        <f t="shared" si="16"/>
        <v>113550.95042112275</v>
      </c>
      <c r="H54" s="32">
        <f t="shared" si="16"/>
        <v>111367.27829763964</v>
      </c>
      <c r="I54" s="32">
        <f t="shared" si="16"/>
        <v>109225.59986883888</v>
      </c>
      <c r="J54" s="32">
        <f t="shared" si="16"/>
        <v>107125.10756366889</v>
      </c>
      <c r="K54" s="32">
        <f t="shared" si="16"/>
        <v>105065.00934129064</v>
      </c>
      <c r="L54" s="32">
        <f t="shared" si="16"/>
        <v>103044.5283924197</v>
      </c>
      <c r="M54" s="32">
        <f t="shared" si="16"/>
        <v>101062.90284641158</v>
      </c>
      <c r="N54" s="32">
        <f t="shared" si="16"/>
        <v>99119.385483980572</v>
      </c>
      <c r="O54" s="32">
        <f t="shared" si="16"/>
        <v>97213.243455442484</v>
      </c>
      <c r="P54" s="32">
        <f t="shared" si="16"/>
        <v>95343.758004376301</v>
      </c>
      <c r="Q54" s="32">
        <f t="shared" si="16"/>
        <v>93510.224196599811</v>
      </c>
      <c r="R54" s="32">
        <f t="shared" si="16"/>
        <v>91711.950654357512</v>
      </c>
      <c r="S54" s="32">
        <f t="shared" si="16"/>
        <v>89948.259295619879</v>
      </c>
      <c r="T54" s="32">
        <f t="shared" si="16"/>
        <v>88218.485078396407</v>
      </c>
      <c r="U54" s="32">
        <f t="shared" si="16"/>
        <v>86521.975749965699</v>
      </c>
      <c r="V54" s="32">
        <f t="shared" si="16"/>
        <v>84858.091600927903</v>
      </c>
      <c r="W54" s="32">
        <f t="shared" si="16"/>
        <v>83226.205223986966</v>
      </c>
      <c r="X54" s="32">
        <f t="shared" si="16"/>
        <v>81625.701277371845</v>
      </c>
      <c r="Y54" s="32">
        <f t="shared" si="16"/>
        <v>80055.976252806999</v>
      </c>
      <c r="Z54" s="32">
        <f t="shared" si="16"/>
        <v>78516.438247945305</v>
      </c>
      <c r="AA54" s="32">
        <f t="shared" si="16"/>
        <v>77006.506743177117</v>
      </c>
      <c r="AB54" s="32">
        <f t="shared" si="16"/>
        <v>75525.612382731415</v>
      </c>
      <c r="AC54" s="32">
        <f t="shared" si="16"/>
        <v>74073.196759986589</v>
      </c>
      <c r="AD54" s="32">
        <f t="shared" si="16"/>
        <v>72648.712206909913</v>
      </c>
      <c r="AE54" s="32">
        <f t="shared" si="16"/>
        <v>71251.621587546251</v>
      </c>
      <c r="AF54" s="32">
        <f t="shared" si="16"/>
        <v>69881.398095478071</v>
      </c>
      <c r="AG54" s="32">
        <f t="shared" si="16"/>
        <v>68537.525055180391</v>
      </c>
      <c r="AH54" s="32">
        <f t="shared" si="16"/>
        <v>67219.495727196161</v>
      </c>
      <c r="AI54" s="32">
        <f t="shared" si="16"/>
        <v>65926.813117057784</v>
      </c>
      <c r="AJ54" s="66">
        <f>SUM(F54:AI54)</f>
        <v>2658159.3925735001</v>
      </c>
      <c r="AM54" s="32"/>
      <c r="AN54" s="32"/>
      <c r="AO54" s="32"/>
    </row>
    <row r="55" spans="2:41" x14ac:dyDescent="0.25">
      <c r="C55" s="30" t="s">
        <v>175</v>
      </c>
      <c r="F55" s="32">
        <f t="shared" ref="F55:AI55" si="17">F51*(1/((1+$D$2)^F$4))</f>
        <v>183869.09140227476</v>
      </c>
      <c r="G55" s="32">
        <f t="shared" si="17"/>
        <v>180333.14733684639</v>
      </c>
      <c r="H55" s="32">
        <f t="shared" si="17"/>
        <v>176865.2021957532</v>
      </c>
      <c r="I55" s="32">
        <f t="shared" si="17"/>
        <v>173463.94830737333</v>
      </c>
      <c r="J55" s="32">
        <f t="shared" si="17"/>
        <v>170128.10314761612</v>
      </c>
      <c r="K55" s="32">
        <f t="shared" si="17"/>
        <v>166856.40885631583</v>
      </c>
      <c r="L55" s="32">
        <f t="shared" si="17"/>
        <v>163647.63176292516</v>
      </c>
      <c r="M55" s="32">
        <f t="shared" si="17"/>
        <v>160500.5619213304</v>
      </c>
      <c r="N55" s="32">
        <f t="shared" si="17"/>
        <v>157414.0126536125</v>
      </c>
      <c r="O55" s="32">
        <f t="shared" si="17"/>
        <v>154386.82010258152</v>
      </c>
      <c r="P55" s="32">
        <f t="shared" si="17"/>
        <v>151417.84279291646</v>
      </c>
      <c r="Q55" s="32">
        <f t="shared" si="17"/>
        <v>148505.96120074499</v>
      </c>
      <c r="R55" s="32">
        <f t="shared" si="17"/>
        <v>145650.07733149987</v>
      </c>
      <c r="S55" s="32">
        <f t="shared" si="17"/>
        <v>142849.11430589412</v>
      </c>
      <c r="T55" s="32">
        <f t="shared" si="17"/>
        <v>140102.01595385766</v>
      </c>
      <c r="U55" s="32">
        <f t="shared" si="17"/>
        <v>137407.74641628348</v>
      </c>
      <c r="V55" s="32">
        <f t="shared" si="17"/>
        <v>134765.28975443187</v>
      </c>
      <c r="W55" s="32">
        <f t="shared" si="17"/>
        <v>132173.64956684664</v>
      </c>
      <c r="X55" s="32">
        <f t="shared" si="17"/>
        <v>129631.84861363808</v>
      </c>
      <c r="Y55" s="32">
        <f t="shared" si="17"/>
        <v>127138.92844799117</v>
      </c>
      <c r="Z55" s="32">
        <f t="shared" si="17"/>
        <v>124693.94905476055</v>
      </c>
      <c r="AA55" s="32">
        <f t="shared" si="17"/>
        <v>122295.98849601514</v>
      </c>
      <c r="AB55" s="32">
        <f t="shared" si="17"/>
        <v>119944.14256339949</v>
      </c>
      <c r="AC55" s="32">
        <f t="shared" si="17"/>
        <v>117637.52443718025</v>
      </c>
      <c r="AD55" s="32">
        <f t="shared" si="17"/>
        <v>115375.26435184985</v>
      </c>
      <c r="AE55" s="32">
        <f t="shared" si="17"/>
        <v>113156.50926816044</v>
      </c>
      <c r="AF55" s="32">
        <f t="shared" si="17"/>
        <v>110980.42255146505</v>
      </c>
      <c r="AG55" s="32">
        <f t="shared" si="17"/>
        <v>108846.18365624457</v>
      </c>
      <c r="AH55" s="32">
        <f t="shared" si="17"/>
        <v>106752.98781670138</v>
      </c>
      <c r="AI55" s="32">
        <f t="shared" si="17"/>
        <v>104700.04574330332</v>
      </c>
      <c r="AJ55" s="66">
        <f>SUM(F55:AI55)</f>
        <v>4221490.4200098123</v>
      </c>
      <c r="AM55" s="32"/>
      <c r="AN55" s="32"/>
      <c r="AO55" s="32"/>
    </row>
    <row r="56" spans="2:41" x14ac:dyDescent="0.25">
      <c r="C56" s="30" t="s">
        <v>176</v>
      </c>
      <c r="F56" s="33">
        <f t="shared" ref="F56:AI56" si="18">F$55*$D$31</f>
        <v>148933.96403584257</v>
      </c>
      <c r="G56" s="33">
        <f t="shared" si="18"/>
        <v>146069.84934284558</v>
      </c>
      <c r="H56" s="33">
        <f t="shared" si="18"/>
        <v>143260.81377856011</v>
      </c>
      <c r="I56" s="33">
        <f t="shared" si="18"/>
        <v>140505.79812897241</v>
      </c>
      <c r="J56" s="33">
        <f t="shared" si="18"/>
        <v>137803.76354956906</v>
      </c>
      <c r="K56" s="33">
        <f t="shared" si="18"/>
        <v>135153.69117361584</v>
      </c>
      <c r="L56" s="33">
        <f t="shared" si="18"/>
        <v>132554.58172796937</v>
      </c>
      <c r="M56" s="33">
        <f t="shared" si="18"/>
        <v>130005.45515627763</v>
      </c>
      <c r="N56" s="33">
        <f t="shared" si="18"/>
        <v>127505.35024942613</v>
      </c>
      <c r="O56" s="33">
        <f t="shared" si="18"/>
        <v>125053.32428309105</v>
      </c>
      <c r="P56" s="33">
        <f t="shared" si="18"/>
        <v>122648.45266226234</v>
      </c>
      <c r="Q56" s="33">
        <f t="shared" si="18"/>
        <v>120289.82857260345</v>
      </c>
      <c r="R56" s="33">
        <f t="shared" si="18"/>
        <v>117976.56263851489</v>
      </c>
      <c r="S56" s="33">
        <f t="shared" si="18"/>
        <v>115707.78258777424</v>
      </c>
      <c r="T56" s="33">
        <f t="shared" si="18"/>
        <v>113482.6329226247</v>
      </c>
      <c r="U56" s="33">
        <f t="shared" si="18"/>
        <v>111300.27459718962</v>
      </c>
      <c r="V56" s="33">
        <f t="shared" si="18"/>
        <v>109159.88470108982</v>
      </c>
      <c r="W56" s="33">
        <f t="shared" si="18"/>
        <v>107060.65614914578</v>
      </c>
      <c r="X56" s="33">
        <f t="shared" si="18"/>
        <v>105001.79737704685</v>
      </c>
      <c r="Y56" s="33">
        <f t="shared" si="18"/>
        <v>102982.53204287286</v>
      </c>
      <c r="Z56" s="33">
        <f t="shared" si="18"/>
        <v>101002.09873435606</v>
      </c>
      <c r="AA56" s="33">
        <f t="shared" si="18"/>
        <v>99059.750681772275</v>
      </c>
      <c r="AB56" s="33">
        <f t="shared" si="18"/>
        <v>97154.755476353603</v>
      </c>
      <c r="AC56" s="33">
        <f t="shared" si="18"/>
        <v>95286.394794116015</v>
      </c>
      <c r="AD56" s="33">
        <f t="shared" si="18"/>
        <v>93453.964124998383</v>
      </c>
      <c r="AE56" s="33">
        <f t="shared" si="18"/>
        <v>91656.772507209971</v>
      </c>
      <c r="AF56" s="33">
        <f t="shared" si="18"/>
        <v>89894.1422666867</v>
      </c>
      <c r="AG56" s="33">
        <f t="shared" si="18"/>
        <v>88165.408761558108</v>
      </c>
      <c r="AH56" s="33">
        <f t="shared" si="18"/>
        <v>86469.920131528124</v>
      </c>
      <c r="AI56" s="33">
        <f t="shared" si="18"/>
        <v>84807.037052075684</v>
      </c>
      <c r="AJ56" s="66">
        <f>SUM(F56:AI56)</f>
        <v>3419407.2402079492</v>
      </c>
      <c r="AM56" s="32"/>
      <c r="AN56" s="32"/>
      <c r="AO56" s="32"/>
    </row>
    <row r="57" spans="2:41" x14ac:dyDescent="0.25">
      <c r="C57" s="30" t="s">
        <v>177</v>
      </c>
      <c r="F57" s="33">
        <f t="shared" ref="F57:AI57" si="19">F$55*$D$32</f>
        <v>34935.127366432207</v>
      </c>
      <c r="G57" s="33">
        <f t="shared" si="19"/>
        <v>34263.297994000815</v>
      </c>
      <c r="H57" s="33">
        <f t="shared" si="19"/>
        <v>33604.388417193106</v>
      </c>
      <c r="I57" s="33">
        <f t="shared" si="19"/>
        <v>32958.150178400931</v>
      </c>
      <c r="J57" s="33">
        <f t="shared" si="19"/>
        <v>32324.339598047063</v>
      </c>
      <c r="K57" s="33">
        <f t="shared" si="19"/>
        <v>31702.717682700008</v>
      </c>
      <c r="L57" s="33">
        <f t="shared" si="19"/>
        <v>31093.050034955781</v>
      </c>
      <c r="M57" s="33">
        <f t="shared" si="19"/>
        <v>30495.106765052777</v>
      </c>
      <c r="N57" s="33">
        <f t="shared" si="19"/>
        <v>29908.662404186376</v>
      </c>
      <c r="O57" s="33">
        <f t="shared" si="19"/>
        <v>29333.49581949049</v>
      </c>
      <c r="P57" s="33">
        <f t="shared" si="19"/>
        <v>28769.390130654127</v>
      </c>
      <c r="Q57" s="33">
        <f t="shared" si="19"/>
        <v>28216.13262814155</v>
      </c>
      <c r="R57" s="33">
        <f t="shared" si="19"/>
        <v>27673.514692984976</v>
      </c>
      <c r="S57" s="33">
        <f t="shared" si="19"/>
        <v>27141.331718119884</v>
      </c>
      <c r="T57" s="33">
        <f t="shared" si="19"/>
        <v>26619.383031232956</v>
      </c>
      <c r="U57" s="33">
        <f t="shared" si="19"/>
        <v>26107.471819093862</v>
      </c>
      <c r="V57" s="33">
        <f t="shared" si="19"/>
        <v>25605.405053342056</v>
      </c>
      <c r="W57" s="33">
        <f t="shared" si="19"/>
        <v>25112.993417700862</v>
      </c>
      <c r="X57" s="33">
        <f t="shared" si="19"/>
        <v>24630.051236591236</v>
      </c>
      <c r="Y57" s="33">
        <f t="shared" si="19"/>
        <v>24156.396405118325</v>
      </c>
      <c r="Z57" s="33">
        <f t="shared" si="19"/>
        <v>23691.850320404505</v>
      </c>
      <c r="AA57" s="33">
        <f t="shared" si="19"/>
        <v>23236.237814242875</v>
      </c>
      <c r="AB57" s="33">
        <f t="shared" si="19"/>
        <v>22789.387087045903</v>
      </c>
      <c r="AC57" s="33">
        <f t="shared" si="19"/>
        <v>22351.129643064247</v>
      </c>
      <c r="AD57" s="33">
        <f t="shared" si="19"/>
        <v>21921.300226851472</v>
      </c>
      <c r="AE57" s="33">
        <f t="shared" si="19"/>
        <v>21499.736760950484</v>
      </c>
      <c r="AF57" s="33">
        <f t="shared" si="19"/>
        <v>21086.280284778361</v>
      </c>
      <c r="AG57" s="33">
        <f t="shared" si="19"/>
        <v>20680.774894686467</v>
      </c>
      <c r="AH57" s="33">
        <f t="shared" si="19"/>
        <v>20283.067685173264</v>
      </c>
      <c r="AI57" s="33">
        <f t="shared" si="19"/>
        <v>19893.008691227631</v>
      </c>
      <c r="AJ57" s="66">
        <f>SUM(F57:AI57)</f>
        <v>802083.17980186443</v>
      </c>
      <c r="AM57" s="32"/>
      <c r="AN57" s="32"/>
      <c r="AO57" s="32"/>
    </row>
    <row r="58" spans="2:41" x14ac:dyDescent="0.25">
      <c r="C58" s="30" t="s">
        <v>178</v>
      </c>
      <c r="F58" s="33">
        <f t="shared" ref="F58:AI58" si="20">F52*(1/((1+$D$2)^F$4))</f>
        <v>299646.53104734112</v>
      </c>
      <c r="G58" s="33">
        <f t="shared" si="20"/>
        <v>293884.09775796917</v>
      </c>
      <c r="H58" s="33">
        <f t="shared" si="20"/>
        <v>288232.48049339291</v>
      </c>
      <c r="I58" s="33">
        <f t="shared" si="20"/>
        <v>282689.54817621224</v>
      </c>
      <c r="J58" s="33">
        <f t="shared" si="20"/>
        <v>277253.21071128501</v>
      </c>
      <c r="K58" s="33">
        <f t="shared" si="20"/>
        <v>271921.41819760646</v>
      </c>
      <c r="L58" s="33">
        <f t="shared" si="20"/>
        <v>266692.16015534487</v>
      </c>
      <c r="M58" s="33">
        <f t="shared" si="20"/>
        <v>261563.46476774197</v>
      </c>
      <c r="N58" s="33">
        <f t="shared" si="20"/>
        <v>256533.39813759306</v>
      </c>
      <c r="O58" s="33">
        <f t="shared" si="20"/>
        <v>251600.06355802401</v>
      </c>
      <c r="P58" s="33">
        <f t="shared" si="20"/>
        <v>246761.60079729275</v>
      </c>
      <c r="Q58" s="33">
        <f t="shared" si="20"/>
        <v>242016.18539734482</v>
      </c>
      <c r="R58" s="33">
        <f t="shared" si="20"/>
        <v>237362.02798585739</v>
      </c>
      <c r="S58" s="33">
        <f t="shared" si="20"/>
        <v>232797.37360151397</v>
      </c>
      <c r="T58" s="33">
        <f t="shared" si="20"/>
        <v>228320.50103225408</v>
      </c>
      <c r="U58" s="33">
        <f t="shared" si="20"/>
        <v>223929.72216624915</v>
      </c>
      <c r="V58" s="33">
        <f t="shared" si="20"/>
        <v>219623.38135535974</v>
      </c>
      <c r="W58" s="33">
        <f t="shared" si="20"/>
        <v>215399.85479083357</v>
      </c>
      <c r="X58" s="33">
        <f t="shared" si="20"/>
        <v>211257.54989100993</v>
      </c>
      <c r="Y58" s="33">
        <f t="shared" si="20"/>
        <v>207194.90470079816</v>
      </c>
      <c r="Z58" s="33">
        <f t="shared" si="20"/>
        <v>203210.38730270584</v>
      </c>
      <c r="AA58" s="33">
        <f t="shared" si="20"/>
        <v>199302.49523919227</v>
      </c>
      <c r="AB58" s="33">
        <f t="shared" si="20"/>
        <v>195469.75494613091</v>
      </c>
      <c r="AC58" s="33">
        <f t="shared" si="20"/>
        <v>191710.72119716686</v>
      </c>
      <c r="AD58" s="33">
        <f t="shared" si="20"/>
        <v>188023.97655875975</v>
      </c>
      <c r="AE58" s="33">
        <f t="shared" si="20"/>
        <v>184408.13085570672</v>
      </c>
      <c r="AF58" s="33">
        <f t="shared" si="20"/>
        <v>180861.82064694309</v>
      </c>
      <c r="AG58" s="33">
        <f t="shared" si="20"/>
        <v>177383.70871142499</v>
      </c>
      <c r="AH58" s="33">
        <f t="shared" si="20"/>
        <v>173972.48354389754</v>
      </c>
      <c r="AI58" s="33">
        <f t="shared" si="20"/>
        <v>170626.8588603611</v>
      </c>
      <c r="AJ58" s="66">
        <f>SUM(F58:AI58)</f>
        <v>6879649.8125833152</v>
      </c>
      <c r="AM58" s="32"/>
      <c r="AN58" s="32"/>
      <c r="AO58" s="32"/>
    </row>
    <row r="59" spans="2:41" x14ac:dyDescent="0.25">
      <c r="C59" s="30"/>
      <c r="AM59" s="32"/>
      <c r="AN59" s="32"/>
      <c r="AO59" s="32"/>
    </row>
    <row r="60" spans="2:41" s="198" customFormat="1" ht="15.75" x14ac:dyDescent="0.25">
      <c r="B60" s="37" t="s">
        <v>105</v>
      </c>
      <c r="C60" s="27" t="s">
        <v>105</v>
      </c>
    </row>
    <row r="61" spans="2:41" x14ac:dyDescent="0.25">
      <c r="C61" s="44" t="s">
        <v>126</v>
      </c>
      <c r="D61" s="44" t="s">
        <v>83</v>
      </c>
      <c r="E61" s="44" t="s">
        <v>106</v>
      </c>
      <c r="F61" s="44" t="s">
        <v>107</v>
      </c>
    </row>
    <row r="62" spans="2:41" x14ac:dyDescent="0.25">
      <c r="B62" s="44"/>
      <c r="C62" s="54" t="s">
        <v>81</v>
      </c>
      <c r="D62" s="41">
        <f>'Input sheet'!E26</f>
        <v>0</v>
      </c>
      <c r="E62" s="41">
        <f>'Input sheet'!F26</f>
        <v>0</v>
      </c>
      <c r="F62" s="41">
        <f>E62*D62</f>
        <v>0</v>
      </c>
    </row>
    <row r="63" spans="2:41" x14ac:dyDescent="0.25">
      <c r="C63" s="54" t="s">
        <v>117</v>
      </c>
      <c r="D63" s="41">
        <f>'Input sheet'!E27</f>
        <v>0</v>
      </c>
      <c r="E63" s="41">
        <f>'Input sheet'!F27</f>
        <v>0</v>
      </c>
      <c r="F63" s="41">
        <f t="shared" ref="F63:F65" si="21">E63*D63</f>
        <v>0</v>
      </c>
    </row>
    <row r="64" spans="2:41" x14ac:dyDescent="0.25">
      <c r="C64" s="54" t="s">
        <v>82</v>
      </c>
      <c r="D64" s="41">
        <f>'Input sheet'!E28</f>
        <v>0</v>
      </c>
      <c r="E64" s="41">
        <f>'Input sheet'!F28</f>
        <v>0</v>
      </c>
      <c r="F64" s="41">
        <f t="shared" si="21"/>
        <v>0</v>
      </c>
    </row>
    <row r="65" spans="2:41" x14ac:dyDescent="0.25">
      <c r="C65" s="55" t="s">
        <v>295</v>
      </c>
      <c r="D65" s="41">
        <f>'Input sheet'!E29</f>
        <v>0</v>
      </c>
      <c r="E65" s="41">
        <f>'Input sheet'!F29</f>
        <v>0</v>
      </c>
      <c r="F65" s="41">
        <f t="shared" si="21"/>
        <v>0</v>
      </c>
    </row>
    <row r="66" spans="2:41" x14ac:dyDescent="0.25">
      <c r="C66" s="41" t="s">
        <v>325</v>
      </c>
      <c r="F66" s="38">
        <f>(SUM(F62:F65))*D25*1/60*1/60*365</f>
        <v>0</v>
      </c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46"/>
      <c r="AH66" s="46"/>
      <c r="AI66" s="46"/>
    </row>
    <row r="67" spans="2:41" x14ac:dyDescent="0.25">
      <c r="C67" s="41" t="s">
        <v>129</v>
      </c>
      <c r="D67" s="1">
        <f>'Input sheet'!E30</f>
        <v>0</v>
      </c>
      <c r="F67" s="38">
        <f>F66*D67</f>
        <v>0</v>
      </c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</row>
    <row r="68" spans="2:41" x14ac:dyDescent="0.25">
      <c r="D68" s="45"/>
      <c r="F68" s="47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46"/>
      <c r="AH68" s="46"/>
      <c r="AI68" s="46"/>
    </row>
    <row r="69" spans="2:41" x14ac:dyDescent="0.25">
      <c r="C69" s="30" t="s">
        <v>182</v>
      </c>
      <c r="D69" s="45"/>
      <c r="F69" s="32">
        <f t="shared" ref="F69:AI69" si="22">$F$67*$D$26*$D$50*F25/$D$25</f>
        <v>0</v>
      </c>
      <c r="G69" s="32">
        <f t="shared" si="22"/>
        <v>0</v>
      </c>
      <c r="H69" s="32">
        <f t="shared" si="22"/>
        <v>0</v>
      </c>
      <c r="I69" s="32">
        <f t="shared" si="22"/>
        <v>0</v>
      </c>
      <c r="J69" s="32">
        <f t="shared" si="22"/>
        <v>0</v>
      </c>
      <c r="K69" s="32">
        <f t="shared" si="22"/>
        <v>0</v>
      </c>
      <c r="L69" s="32">
        <f t="shared" si="22"/>
        <v>0</v>
      </c>
      <c r="M69" s="32">
        <f t="shared" si="22"/>
        <v>0</v>
      </c>
      <c r="N69" s="32">
        <f t="shared" si="22"/>
        <v>0</v>
      </c>
      <c r="O69" s="32">
        <f t="shared" si="22"/>
        <v>0</v>
      </c>
      <c r="P69" s="32">
        <f t="shared" si="22"/>
        <v>0</v>
      </c>
      <c r="Q69" s="32">
        <f t="shared" si="22"/>
        <v>0</v>
      </c>
      <c r="R69" s="32">
        <f t="shared" si="22"/>
        <v>0</v>
      </c>
      <c r="S69" s="32">
        <f t="shared" si="22"/>
        <v>0</v>
      </c>
      <c r="T69" s="32">
        <f t="shared" si="22"/>
        <v>0</v>
      </c>
      <c r="U69" s="32">
        <f t="shared" si="22"/>
        <v>0</v>
      </c>
      <c r="V69" s="32">
        <f t="shared" si="22"/>
        <v>0</v>
      </c>
      <c r="W69" s="32">
        <f t="shared" si="22"/>
        <v>0</v>
      </c>
      <c r="X69" s="32">
        <f t="shared" si="22"/>
        <v>0</v>
      </c>
      <c r="Y69" s="32">
        <f t="shared" si="22"/>
        <v>0</v>
      </c>
      <c r="Z69" s="32">
        <f t="shared" si="22"/>
        <v>0</v>
      </c>
      <c r="AA69" s="32">
        <f t="shared" si="22"/>
        <v>0</v>
      </c>
      <c r="AB69" s="32">
        <f t="shared" si="22"/>
        <v>0</v>
      </c>
      <c r="AC69" s="32">
        <f t="shared" si="22"/>
        <v>0</v>
      </c>
      <c r="AD69" s="32">
        <f t="shared" si="22"/>
        <v>0</v>
      </c>
      <c r="AE69" s="32">
        <f t="shared" si="22"/>
        <v>0</v>
      </c>
      <c r="AF69" s="32">
        <f t="shared" si="22"/>
        <v>0</v>
      </c>
      <c r="AG69" s="32">
        <f t="shared" si="22"/>
        <v>0</v>
      </c>
      <c r="AH69" s="32">
        <f t="shared" si="22"/>
        <v>0</v>
      </c>
      <c r="AI69" s="32">
        <f t="shared" si="22"/>
        <v>0</v>
      </c>
    </row>
    <row r="70" spans="2:41" x14ac:dyDescent="0.25">
      <c r="C70" s="30" t="s">
        <v>183</v>
      </c>
      <c r="D70" s="45"/>
      <c r="F70" s="32">
        <f t="shared" ref="F70:AI70" si="23">$F$67*$D$27*$D$51*F25/$D$25</f>
        <v>0</v>
      </c>
      <c r="G70" s="32">
        <f t="shared" si="23"/>
        <v>0</v>
      </c>
      <c r="H70" s="32">
        <f t="shared" si="23"/>
        <v>0</v>
      </c>
      <c r="I70" s="32">
        <f t="shared" si="23"/>
        <v>0</v>
      </c>
      <c r="J70" s="32">
        <f t="shared" si="23"/>
        <v>0</v>
      </c>
      <c r="K70" s="32">
        <f t="shared" si="23"/>
        <v>0</v>
      </c>
      <c r="L70" s="32">
        <f t="shared" si="23"/>
        <v>0</v>
      </c>
      <c r="M70" s="32">
        <f t="shared" si="23"/>
        <v>0</v>
      </c>
      <c r="N70" s="32">
        <f t="shared" si="23"/>
        <v>0</v>
      </c>
      <c r="O70" s="32">
        <f t="shared" si="23"/>
        <v>0</v>
      </c>
      <c r="P70" s="32">
        <f t="shared" si="23"/>
        <v>0</v>
      </c>
      <c r="Q70" s="32">
        <f t="shared" si="23"/>
        <v>0</v>
      </c>
      <c r="R70" s="32">
        <f t="shared" si="23"/>
        <v>0</v>
      </c>
      <c r="S70" s="32">
        <f t="shared" si="23"/>
        <v>0</v>
      </c>
      <c r="T70" s="32">
        <f t="shared" si="23"/>
        <v>0</v>
      </c>
      <c r="U70" s="32">
        <f t="shared" si="23"/>
        <v>0</v>
      </c>
      <c r="V70" s="32">
        <f t="shared" si="23"/>
        <v>0</v>
      </c>
      <c r="W70" s="32">
        <f t="shared" si="23"/>
        <v>0</v>
      </c>
      <c r="X70" s="32">
        <f t="shared" si="23"/>
        <v>0</v>
      </c>
      <c r="Y70" s="32">
        <f t="shared" si="23"/>
        <v>0</v>
      </c>
      <c r="Z70" s="32">
        <f t="shared" si="23"/>
        <v>0</v>
      </c>
      <c r="AA70" s="32">
        <f t="shared" si="23"/>
        <v>0</v>
      </c>
      <c r="AB70" s="32">
        <f t="shared" si="23"/>
        <v>0</v>
      </c>
      <c r="AC70" s="32">
        <f t="shared" si="23"/>
        <v>0</v>
      </c>
      <c r="AD70" s="32">
        <f t="shared" si="23"/>
        <v>0</v>
      </c>
      <c r="AE70" s="32">
        <f t="shared" si="23"/>
        <v>0</v>
      </c>
      <c r="AF70" s="32">
        <f t="shared" si="23"/>
        <v>0</v>
      </c>
      <c r="AG70" s="32">
        <f t="shared" si="23"/>
        <v>0</v>
      </c>
      <c r="AH70" s="32">
        <f t="shared" si="23"/>
        <v>0</v>
      </c>
      <c r="AI70" s="32">
        <f t="shared" si="23"/>
        <v>0</v>
      </c>
    </row>
    <row r="71" spans="2:41" x14ac:dyDescent="0.25">
      <c r="C71" s="30" t="s">
        <v>150</v>
      </c>
      <c r="F71" s="32">
        <f t="shared" ref="F71:AI71" si="24">(($F$67*$D$26*$D$50)+($F$67*$D$27*$D$51))*F25/$D$25</f>
        <v>0</v>
      </c>
      <c r="G71" s="32">
        <f t="shared" si="24"/>
        <v>0</v>
      </c>
      <c r="H71" s="32">
        <f t="shared" si="24"/>
        <v>0</v>
      </c>
      <c r="I71" s="32">
        <f t="shared" si="24"/>
        <v>0</v>
      </c>
      <c r="J71" s="32">
        <f t="shared" si="24"/>
        <v>0</v>
      </c>
      <c r="K71" s="32">
        <f t="shared" si="24"/>
        <v>0</v>
      </c>
      <c r="L71" s="32">
        <f t="shared" si="24"/>
        <v>0</v>
      </c>
      <c r="M71" s="32">
        <f t="shared" si="24"/>
        <v>0</v>
      </c>
      <c r="N71" s="32">
        <f t="shared" si="24"/>
        <v>0</v>
      </c>
      <c r="O71" s="32">
        <f t="shared" si="24"/>
        <v>0</v>
      </c>
      <c r="P71" s="32">
        <f t="shared" si="24"/>
        <v>0</v>
      </c>
      <c r="Q71" s="32">
        <f t="shared" si="24"/>
        <v>0</v>
      </c>
      <c r="R71" s="32">
        <f t="shared" si="24"/>
        <v>0</v>
      </c>
      <c r="S71" s="32">
        <f t="shared" si="24"/>
        <v>0</v>
      </c>
      <c r="T71" s="32">
        <f t="shared" si="24"/>
        <v>0</v>
      </c>
      <c r="U71" s="32">
        <f t="shared" si="24"/>
        <v>0</v>
      </c>
      <c r="V71" s="32">
        <f t="shared" si="24"/>
        <v>0</v>
      </c>
      <c r="W71" s="32">
        <f t="shared" si="24"/>
        <v>0</v>
      </c>
      <c r="X71" s="32">
        <f t="shared" si="24"/>
        <v>0</v>
      </c>
      <c r="Y71" s="32">
        <f t="shared" si="24"/>
        <v>0</v>
      </c>
      <c r="Z71" s="32">
        <f t="shared" si="24"/>
        <v>0</v>
      </c>
      <c r="AA71" s="32">
        <f t="shared" si="24"/>
        <v>0</v>
      </c>
      <c r="AB71" s="32">
        <f t="shared" si="24"/>
        <v>0</v>
      </c>
      <c r="AC71" s="32">
        <f t="shared" si="24"/>
        <v>0</v>
      </c>
      <c r="AD71" s="32">
        <f t="shared" si="24"/>
        <v>0</v>
      </c>
      <c r="AE71" s="32">
        <f t="shared" si="24"/>
        <v>0</v>
      </c>
      <c r="AF71" s="32">
        <f t="shared" si="24"/>
        <v>0</v>
      </c>
      <c r="AG71" s="32">
        <f t="shared" si="24"/>
        <v>0</v>
      </c>
      <c r="AH71" s="32">
        <f t="shared" si="24"/>
        <v>0</v>
      </c>
      <c r="AI71" s="32">
        <f t="shared" si="24"/>
        <v>0</v>
      </c>
      <c r="AM71" s="31"/>
      <c r="AN71" s="31"/>
      <c r="AO71" s="31"/>
    </row>
    <row r="72" spans="2:41" x14ac:dyDescent="0.25">
      <c r="C72" s="30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M72" s="31"/>
      <c r="AN72" s="31"/>
      <c r="AO72" s="31"/>
    </row>
    <row r="73" spans="2:41" x14ac:dyDescent="0.25">
      <c r="C73" s="30" t="s">
        <v>184</v>
      </c>
      <c r="F73" s="32">
        <f t="shared" ref="F73:AI73" si="25">F69*(1/((1+$D$2)^F$4))</f>
        <v>0</v>
      </c>
      <c r="G73" s="32">
        <f t="shared" si="25"/>
        <v>0</v>
      </c>
      <c r="H73" s="32">
        <f t="shared" si="25"/>
        <v>0</v>
      </c>
      <c r="I73" s="32">
        <f t="shared" si="25"/>
        <v>0</v>
      </c>
      <c r="J73" s="32">
        <f t="shared" si="25"/>
        <v>0</v>
      </c>
      <c r="K73" s="32">
        <f t="shared" si="25"/>
        <v>0</v>
      </c>
      <c r="L73" s="32">
        <f t="shared" si="25"/>
        <v>0</v>
      </c>
      <c r="M73" s="32">
        <f t="shared" si="25"/>
        <v>0</v>
      </c>
      <c r="N73" s="32">
        <f t="shared" si="25"/>
        <v>0</v>
      </c>
      <c r="O73" s="32">
        <f t="shared" si="25"/>
        <v>0</v>
      </c>
      <c r="P73" s="32">
        <f t="shared" si="25"/>
        <v>0</v>
      </c>
      <c r="Q73" s="32">
        <f t="shared" si="25"/>
        <v>0</v>
      </c>
      <c r="R73" s="32">
        <f t="shared" si="25"/>
        <v>0</v>
      </c>
      <c r="S73" s="32">
        <f t="shared" si="25"/>
        <v>0</v>
      </c>
      <c r="T73" s="32">
        <f t="shared" si="25"/>
        <v>0</v>
      </c>
      <c r="U73" s="32">
        <f t="shared" si="25"/>
        <v>0</v>
      </c>
      <c r="V73" s="32">
        <f t="shared" si="25"/>
        <v>0</v>
      </c>
      <c r="W73" s="32">
        <f t="shared" si="25"/>
        <v>0</v>
      </c>
      <c r="X73" s="32">
        <f t="shared" si="25"/>
        <v>0</v>
      </c>
      <c r="Y73" s="32">
        <f t="shared" si="25"/>
        <v>0</v>
      </c>
      <c r="Z73" s="32">
        <f t="shared" si="25"/>
        <v>0</v>
      </c>
      <c r="AA73" s="32">
        <f t="shared" si="25"/>
        <v>0</v>
      </c>
      <c r="AB73" s="32">
        <f t="shared" si="25"/>
        <v>0</v>
      </c>
      <c r="AC73" s="32">
        <f t="shared" si="25"/>
        <v>0</v>
      </c>
      <c r="AD73" s="32">
        <f t="shared" si="25"/>
        <v>0</v>
      </c>
      <c r="AE73" s="32">
        <f t="shared" si="25"/>
        <v>0</v>
      </c>
      <c r="AF73" s="32">
        <f t="shared" si="25"/>
        <v>0</v>
      </c>
      <c r="AG73" s="32">
        <f t="shared" si="25"/>
        <v>0</v>
      </c>
      <c r="AH73" s="32">
        <f t="shared" si="25"/>
        <v>0</v>
      </c>
      <c r="AI73" s="32">
        <f t="shared" si="25"/>
        <v>0</v>
      </c>
      <c r="AJ73" s="66">
        <f>SUM(F73:AI73)</f>
        <v>0</v>
      </c>
      <c r="AM73" s="31"/>
      <c r="AN73" s="31"/>
      <c r="AO73" s="31"/>
    </row>
    <row r="74" spans="2:41" x14ac:dyDescent="0.25">
      <c r="C74" s="30" t="s">
        <v>185</v>
      </c>
      <c r="F74" s="32">
        <f t="shared" ref="F74:AI74" si="26">F70*(1/((1+$D$2)^F$4))</f>
        <v>0</v>
      </c>
      <c r="G74" s="32">
        <f t="shared" si="26"/>
        <v>0</v>
      </c>
      <c r="H74" s="32">
        <f t="shared" si="26"/>
        <v>0</v>
      </c>
      <c r="I74" s="32">
        <f t="shared" si="26"/>
        <v>0</v>
      </c>
      <c r="J74" s="32">
        <f t="shared" si="26"/>
        <v>0</v>
      </c>
      <c r="K74" s="32">
        <f t="shared" si="26"/>
        <v>0</v>
      </c>
      <c r="L74" s="32">
        <f t="shared" si="26"/>
        <v>0</v>
      </c>
      <c r="M74" s="32">
        <f t="shared" si="26"/>
        <v>0</v>
      </c>
      <c r="N74" s="32">
        <f t="shared" si="26"/>
        <v>0</v>
      </c>
      <c r="O74" s="32">
        <f t="shared" si="26"/>
        <v>0</v>
      </c>
      <c r="P74" s="32">
        <f t="shared" si="26"/>
        <v>0</v>
      </c>
      <c r="Q74" s="32">
        <f t="shared" si="26"/>
        <v>0</v>
      </c>
      <c r="R74" s="32">
        <f t="shared" si="26"/>
        <v>0</v>
      </c>
      <c r="S74" s="32">
        <f t="shared" si="26"/>
        <v>0</v>
      </c>
      <c r="T74" s="32">
        <f t="shared" si="26"/>
        <v>0</v>
      </c>
      <c r="U74" s="32">
        <f t="shared" si="26"/>
        <v>0</v>
      </c>
      <c r="V74" s="32">
        <f t="shared" si="26"/>
        <v>0</v>
      </c>
      <c r="W74" s="32">
        <f t="shared" si="26"/>
        <v>0</v>
      </c>
      <c r="X74" s="32">
        <f t="shared" si="26"/>
        <v>0</v>
      </c>
      <c r="Y74" s="32">
        <f t="shared" si="26"/>
        <v>0</v>
      </c>
      <c r="Z74" s="32">
        <f t="shared" si="26"/>
        <v>0</v>
      </c>
      <c r="AA74" s="32">
        <f t="shared" si="26"/>
        <v>0</v>
      </c>
      <c r="AB74" s="32">
        <f t="shared" si="26"/>
        <v>0</v>
      </c>
      <c r="AC74" s="32">
        <f t="shared" si="26"/>
        <v>0</v>
      </c>
      <c r="AD74" s="32">
        <f t="shared" si="26"/>
        <v>0</v>
      </c>
      <c r="AE74" s="32">
        <f t="shared" si="26"/>
        <v>0</v>
      </c>
      <c r="AF74" s="32">
        <f t="shared" si="26"/>
        <v>0</v>
      </c>
      <c r="AG74" s="32">
        <f t="shared" si="26"/>
        <v>0</v>
      </c>
      <c r="AH74" s="32">
        <f t="shared" si="26"/>
        <v>0</v>
      </c>
      <c r="AI74" s="32">
        <f t="shared" si="26"/>
        <v>0</v>
      </c>
      <c r="AJ74" s="66">
        <f t="shared" ref="AJ74:AJ77" si="27">SUM(F74:AI74)</f>
        <v>0</v>
      </c>
      <c r="AM74" s="31"/>
      <c r="AN74" s="31"/>
      <c r="AO74" s="31"/>
    </row>
    <row r="75" spans="2:41" x14ac:dyDescent="0.25">
      <c r="C75" s="30" t="s">
        <v>186</v>
      </c>
      <c r="F75" s="32">
        <f>F74*$D$31</f>
        <v>0</v>
      </c>
      <c r="G75" s="32">
        <f t="shared" ref="G75:AI75" si="28">G74*$D$31</f>
        <v>0</v>
      </c>
      <c r="H75" s="32">
        <f t="shared" si="28"/>
        <v>0</v>
      </c>
      <c r="I75" s="32">
        <f t="shared" si="28"/>
        <v>0</v>
      </c>
      <c r="J75" s="32">
        <f t="shared" si="28"/>
        <v>0</v>
      </c>
      <c r="K75" s="32">
        <f t="shared" si="28"/>
        <v>0</v>
      </c>
      <c r="L75" s="32">
        <f t="shared" si="28"/>
        <v>0</v>
      </c>
      <c r="M75" s="32">
        <f t="shared" si="28"/>
        <v>0</v>
      </c>
      <c r="N75" s="32">
        <f t="shared" si="28"/>
        <v>0</v>
      </c>
      <c r="O75" s="32">
        <f t="shared" si="28"/>
        <v>0</v>
      </c>
      <c r="P75" s="32">
        <f t="shared" si="28"/>
        <v>0</v>
      </c>
      <c r="Q75" s="32">
        <f t="shared" si="28"/>
        <v>0</v>
      </c>
      <c r="R75" s="32">
        <f t="shared" si="28"/>
        <v>0</v>
      </c>
      <c r="S75" s="32">
        <f t="shared" si="28"/>
        <v>0</v>
      </c>
      <c r="T75" s="32">
        <f t="shared" si="28"/>
        <v>0</v>
      </c>
      <c r="U75" s="32">
        <f t="shared" si="28"/>
        <v>0</v>
      </c>
      <c r="V75" s="32">
        <f t="shared" si="28"/>
        <v>0</v>
      </c>
      <c r="W75" s="32">
        <f t="shared" si="28"/>
        <v>0</v>
      </c>
      <c r="X75" s="32">
        <f t="shared" si="28"/>
        <v>0</v>
      </c>
      <c r="Y75" s="32">
        <f t="shared" si="28"/>
        <v>0</v>
      </c>
      <c r="Z75" s="32">
        <f t="shared" si="28"/>
        <v>0</v>
      </c>
      <c r="AA75" s="32">
        <f t="shared" si="28"/>
        <v>0</v>
      </c>
      <c r="AB75" s="32">
        <f t="shared" si="28"/>
        <v>0</v>
      </c>
      <c r="AC75" s="32">
        <f t="shared" si="28"/>
        <v>0</v>
      </c>
      <c r="AD75" s="32">
        <f t="shared" si="28"/>
        <v>0</v>
      </c>
      <c r="AE75" s="32">
        <f t="shared" si="28"/>
        <v>0</v>
      </c>
      <c r="AF75" s="32">
        <f t="shared" si="28"/>
        <v>0</v>
      </c>
      <c r="AG75" s="32">
        <f t="shared" si="28"/>
        <v>0</v>
      </c>
      <c r="AH75" s="32">
        <f t="shared" si="28"/>
        <v>0</v>
      </c>
      <c r="AI75" s="32">
        <f t="shared" si="28"/>
        <v>0</v>
      </c>
      <c r="AJ75" s="66">
        <f t="shared" si="27"/>
        <v>0</v>
      </c>
      <c r="AM75" s="31"/>
      <c r="AN75" s="31"/>
      <c r="AO75" s="31"/>
    </row>
    <row r="76" spans="2:41" x14ac:dyDescent="0.25">
      <c r="C76" s="30" t="s">
        <v>187</v>
      </c>
      <c r="F76" s="32">
        <f>F74*$D$32</f>
        <v>0</v>
      </c>
      <c r="G76" s="32">
        <f t="shared" ref="G76:AI76" si="29">G74*$D$32</f>
        <v>0</v>
      </c>
      <c r="H76" s="32">
        <f t="shared" si="29"/>
        <v>0</v>
      </c>
      <c r="I76" s="32">
        <f t="shared" si="29"/>
        <v>0</v>
      </c>
      <c r="J76" s="32">
        <f t="shared" si="29"/>
        <v>0</v>
      </c>
      <c r="K76" s="32">
        <f t="shared" si="29"/>
        <v>0</v>
      </c>
      <c r="L76" s="32">
        <f t="shared" si="29"/>
        <v>0</v>
      </c>
      <c r="M76" s="32">
        <f t="shared" si="29"/>
        <v>0</v>
      </c>
      <c r="N76" s="32">
        <f t="shared" si="29"/>
        <v>0</v>
      </c>
      <c r="O76" s="32">
        <f t="shared" si="29"/>
        <v>0</v>
      </c>
      <c r="P76" s="32">
        <f t="shared" si="29"/>
        <v>0</v>
      </c>
      <c r="Q76" s="32">
        <f t="shared" si="29"/>
        <v>0</v>
      </c>
      <c r="R76" s="32">
        <f t="shared" si="29"/>
        <v>0</v>
      </c>
      <c r="S76" s="32">
        <f t="shared" si="29"/>
        <v>0</v>
      </c>
      <c r="T76" s="32">
        <f t="shared" si="29"/>
        <v>0</v>
      </c>
      <c r="U76" s="32">
        <f t="shared" si="29"/>
        <v>0</v>
      </c>
      <c r="V76" s="32">
        <f t="shared" si="29"/>
        <v>0</v>
      </c>
      <c r="W76" s="32">
        <f t="shared" si="29"/>
        <v>0</v>
      </c>
      <c r="X76" s="32">
        <f t="shared" si="29"/>
        <v>0</v>
      </c>
      <c r="Y76" s="32">
        <f t="shared" si="29"/>
        <v>0</v>
      </c>
      <c r="Z76" s="32">
        <f t="shared" si="29"/>
        <v>0</v>
      </c>
      <c r="AA76" s="32">
        <f t="shared" si="29"/>
        <v>0</v>
      </c>
      <c r="AB76" s="32">
        <f t="shared" si="29"/>
        <v>0</v>
      </c>
      <c r="AC76" s="32">
        <f t="shared" si="29"/>
        <v>0</v>
      </c>
      <c r="AD76" s="32">
        <f t="shared" si="29"/>
        <v>0</v>
      </c>
      <c r="AE76" s="32">
        <f t="shared" si="29"/>
        <v>0</v>
      </c>
      <c r="AF76" s="32">
        <f t="shared" si="29"/>
        <v>0</v>
      </c>
      <c r="AG76" s="32">
        <f t="shared" si="29"/>
        <v>0</v>
      </c>
      <c r="AH76" s="32">
        <f t="shared" si="29"/>
        <v>0</v>
      </c>
      <c r="AI76" s="32">
        <f t="shared" si="29"/>
        <v>0</v>
      </c>
      <c r="AJ76" s="66">
        <f t="shared" si="27"/>
        <v>0</v>
      </c>
      <c r="AM76" s="31"/>
      <c r="AN76" s="31"/>
      <c r="AO76" s="31"/>
    </row>
    <row r="77" spans="2:41" x14ac:dyDescent="0.25">
      <c r="C77" s="30" t="s">
        <v>188</v>
      </c>
      <c r="F77" s="32">
        <f t="shared" ref="F77:AI77" si="30">F71*(1/((1+$D$2)^F$4))</f>
        <v>0</v>
      </c>
      <c r="G77" s="32">
        <f t="shared" si="30"/>
        <v>0</v>
      </c>
      <c r="H77" s="32">
        <f t="shared" si="30"/>
        <v>0</v>
      </c>
      <c r="I77" s="32">
        <f t="shared" si="30"/>
        <v>0</v>
      </c>
      <c r="J77" s="32">
        <f t="shared" si="30"/>
        <v>0</v>
      </c>
      <c r="K77" s="32">
        <f t="shared" si="30"/>
        <v>0</v>
      </c>
      <c r="L77" s="32">
        <f t="shared" si="30"/>
        <v>0</v>
      </c>
      <c r="M77" s="32">
        <f t="shared" si="30"/>
        <v>0</v>
      </c>
      <c r="N77" s="32">
        <f t="shared" si="30"/>
        <v>0</v>
      </c>
      <c r="O77" s="32">
        <f t="shared" si="30"/>
        <v>0</v>
      </c>
      <c r="P77" s="32">
        <f t="shared" si="30"/>
        <v>0</v>
      </c>
      <c r="Q77" s="32">
        <f t="shared" si="30"/>
        <v>0</v>
      </c>
      <c r="R77" s="32">
        <f t="shared" si="30"/>
        <v>0</v>
      </c>
      <c r="S77" s="32">
        <f t="shared" si="30"/>
        <v>0</v>
      </c>
      <c r="T77" s="32">
        <f t="shared" si="30"/>
        <v>0</v>
      </c>
      <c r="U77" s="32">
        <f t="shared" si="30"/>
        <v>0</v>
      </c>
      <c r="V77" s="32">
        <f t="shared" si="30"/>
        <v>0</v>
      </c>
      <c r="W77" s="32">
        <f t="shared" si="30"/>
        <v>0</v>
      </c>
      <c r="X77" s="32">
        <f t="shared" si="30"/>
        <v>0</v>
      </c>
      <c r="Y77" s="32">
        <f t="shared" si="30"/>
        <v>0</v>
      </c>
      <c r="Z77" s="32">
        <f t="shared" si="30"/>
        <v>0</v>
      </c>
      <c r="AA77" s="32">
        <f t="shared" si="30"/>
        <v>0</v>
      </c>
      <c r="AB77" s="32">
        <f t="shared" si="30"/>
        <v>0</v>
      </c>
      <c r="AC77" s="32">
        <f t="shared" si="30"/>
        <v>0</v>
      </c>
      <c r="AD77" s="32">
        <f t="shared" si="30"/>
        <v>0</v>
      </c>
      <c r="AE77" s="32">
        <f t="shared" si="30"/>
        <v>0</v>
      </c>
      <c r="AF77" s="32">
        <f t="shared" si="30"/>
        <v>0</v>
      </c>
      <c r="AG77" s="32">
        <f t="shared" si="30"/>
        <v>0</v>
      </c>
      <c r="AH77" s="32">
        <f t="shared" si="30"/>
        <v>0</v>
      </c>
      <c r="AI77" s="32">
        <f t="shared" si="30"/>
        <v>0</v>
      </c>
      <c r="AJ77" s="66">
        <f t="shared" si="27"/>
        <v>0</v>
      </c>
      <c r="AM77" s="32"/>
      <c r="AN77" s="32"/>
      <c r="AO77" s="32"/>
    </row>
    <row r="79" spans="2:41" x14ac:dyDescent="0.25">
      <c r="B79" s="27" t="s">
        <v>142</v>
      </c>
      <c r="C79" s="37" t="s">
        <v>465</v>
      </c>
      <c r="D79" s="44"/>
    </row>
    <row r="80" spans="2:41" x14ac:dyDescent="0.25">
      <c r="C80" s="44" t="s">
        <v>466</v>
      </c>
      <c r="D80" s="44">
        <f>'Input sheet'!E22</f>
        <v>6.9999999999999902</v>
      </c>
    </row>
    <row r="81" spans="2:41" x14ac:dyDescent="0.25">
      <c r="C81" s="44" t="s">
        <v>467</v>
      </c>
      <c r="D81" s="44">
        <f>'Input sheet'!E23</f>
        <v>3.0000000000000018</v>
      </c>
    </row>
    <row r="82" spans="2:41" x14ac:dyDescent="0.25">
      <c r="C82" s="44" t="s">
        <v>118</v>
      </c>
      <c r="D82" s="44" t="s">
        <v>103</v>
      </c>
    </row>
    <row r="83" spans="2:41" x14ac:dyDescent="0.25">
      <c r="C83" s="59" t="s">
        <v>119</v>
      </c>
      <c r="D83" s="60">
        <f>(LN(D81/D80))/(AI4-F4)</f>
        <v>-2.9217167599558676E-2</v>
      </c>
    </row>
    <row r="84" spans="2:41" x14ac:dyDescent="0.25">
      <c r="C84" s="44"/>
      <c r="D84" s="61"/>
    </row>
    <row r="85" spans="2:41" x14ac:dyDescent="0.25">
      <c r="C85" s="44" t="s">
        <v>124</v>
      </c>
      <c r="D85" s="44"/>
      <c r="F85" s="62">
        <v>1</v>
      </c>
      <c r="G85" s="62">
        <f t="shared" ref="G85:AI85" si="31">$F$85*(EXP($D$83*(G4-$F$4)))</f>
        <v>0.97120552719004483</v>
      </c>
      <c r="H85" s="62">
        <f t="shared" si="31"/>
        <v>0.94324017604449295</v>
      </c>
      <c r="I85" s="62">
        <f t="shared" si="31"/>
        <v>0.91608007244212253</v>
      </c>
      <c r="J85" s="62">
        <f t="shared" si="31"/>
        <v>0.88970202970444612</v>
      </c>
      <c r="K85" s="62">
        <f t="shared" si="31"/>
        <v>0.86408352880115946</v>
      </c>
      <c r="L85" s="62">
        <f t="shared" si="31"/>
        <v>0.83920269912556444</v>
      </c>
      <c r="M85" s="62">
        <f t="shared" si="31"/>
        <v>0.81503829982355236</v>
      </c>
      <c r="N85" s="62">
        <f t="shared" si="31"/>
        <v>0.79156970166021101</v>
      </c>
      <c r="O85" s="62">
        <f t="shared" si="31"/>
        <v>0.76877686940857182</v>
      </c>
      <c r="P85" s="62">
        <f t="shared" si="31"/>
        <v>0.74664034474546426</v>
      </c>
      <c r="Q85" s="62">
        <f t="shared" si="31"/>
        <v>0.72514122963987537</v>
      </c>
      <c r="R85" s="62">
        <f t="shared" si="31"/>
        <v>0.70426117021963253</v>
      </c>
      <c r="S85" s="62">
        <f t="shared" si="31"/>
        <v>0.68398234110263612</v>
      </c>
      <c r="T85" s="62">
        <f t="shared" si="31"/>
        <v>0.66428743017926684</v>
      </c>
      <c r="U85" s="62">
        <f t="shared" si="31"/>
        <v>0.64515962383297498</v>
      </c>
      <c r="V85" s="62">
        <f t="shared" si="31"/>
        <v>0.62658259258643545</v>
      </c>
      <c r="W85" s="62">
        <f t="shared" si="31"/>
        <v>0.60854047716101423</v>
      </c>
      <c r="X85" s="62">
        <f t="shared" si="31"/>
        <v>0.59101787493764424</v>
      </c>
      <c r="Y85" s="62">
        <f t="shared" si="31"/>
        <v>0.57399982680755468</v>
      </c>
      <c r="Z85" s="62">
        <f t="shared" si="31"/>
        <v>0.55747180440162569</v>
      </c>
      <c r="AA85" s="62">
        <f t="shared" si="31"/>
        <v>0.54141969768746645</v>
      </c>
      <c r="AB85" s="62">
        <f t="shared" si="31"/>
        <v>0.52582980292363057</v>
      </c>
      <c r="AC85" s="62">
        <f t="shared" si="31"/>
        <v>0.51068881096068197</v>
      </c>
      <c r="AD85" s="62">
        <f t="shared" si="31"/>
        <v>0.49598379587912628</v>
      </c>
      <c r="AE85" s="62">
        <f t="shared" si="31"/>
        <v>0.48170220395450647</v>
      </c>
      <c r="AF85" s="62">
        <f t="shared" si="31"/>
        <v>0.46783184294024294</v>
      </c>
      <c r="AG85" s="62">
        <f t="shared" si="31"/>
        <v>0.45436087165906891</v>
      </c>
      <c r="AH85" s="62">
        <f t="shared" si="31"/>
        <v>0.44127778989417432</v>
      </c>
      <c r="AI85" s="62">
        <f t="shared" si="31"/>
        <v>0.42857142857142944</v>
      </c>
      <c r="AM85" s="63"/>
      <c r="AN85" s="63"/>
      <c r="AO85" s="63"/>
    </row>
    <row r="86" spans="2:41" x14ac:dyDescent="0.25">
      <c r="C86" s="44"/>
      <c r="D86" s="44"/>
    </row>
    <row r="87" spans="2:41" x14ac:dyDescent="0.25">
      <c r="B87" s="68" t="s">
        <v>65</v>
      </c>
      <c r="C87" s="44" t="s">
        <v>123</v>
      </c>
      <c r="D87" s="44"/>
    </row>
    <row r="88" spans="2:41" x14ac:dyDescent="0.25">
      <c r="B88" s="68"/>
      <c r="C88" s="44" t="s">
        <v>104</v>
      </c>
      <c r="D88" s="44" t="s">
        <v>161</v>
      </c>
    </row>
    <row r="89" spans="2:41" x14ac:dyDescent="0.25">
      <c r="B89" s="68"/>
      <c r="C89" s="44"/>
      <c r="D89" s="44" t="s">
        <v>7</v>
      </c>
      <c r="E89" s="41" t="s">
        <v>1</v>
      </c>
      <c r="F89" s="41" t="s">
        <v>2</v>
      </c>
      <c r="G89" s="41" t="s">
        <v>3</v>
      </c>
      <c r="H89" s="41" t="s">
        <v>4</v>
      </c>
      <c r="I89" s="41" t="s">
        <v>5</v>
      </c>
      <c r="J89" s="41" t="s">
        <v>6</v>
      </c>
      <c r="K89" s="41" t="s">
        <v>10</v>
      </c>
    </row>
    <row r="90" spans="2:41" x14ac:dyDescent="0.25">
      <c r="B90" s="68"/>
      <c r="C90" s="44" t="s">
        <v>468</v>
      </c>
      <c r="D90" s="44">
        <v>103.6022</v>
      </c>
      <c r="E90" s="41">
        <v>0.49192200000000003</v>
      </c>
      <c r="F90" s="41">
        <v>8.5864209999999996</v>
      </c>
      <c r="G90" s="41">
        <v>2.8E-5</v>
      </c>
      <c r="H90" s="41">
        <v>8.5236999999999993E-2</v>
      </c>
      <c r="I90" s="41">
        <v>3.6699999999999998E-4</v>
      </c>
      <c r="J90" s="41">
        <v>4.0819999999999997E-3</v>
      </c>
      <c r="K90" s="41">
        <v>42.5</v>
      </c>
    </row>
    <row r="91" spans="2:41" x14ac:dyDescent="0.25">
      <c r="B91" s="68"/>
      <c r="C91" s="44"/>
      <c r="D91" s="44"/>
    </row>
    <row r="92" spans="2:41" x14ac:dyDescent="0.25">
      <c r="B92" s="68"/>
      <c r="C92" s="44" t="s">
        <v>469</v>
      </c>
      <c r="D92" s="61">
        <f>$D$90*($E$90+($F$90/$D$33)+($G$90*($D$33^2))+($H$90*$D$80)+($I$90*($D$80^2))+($J$90*$K$90))</f>
        <v>159.18912148486822</v>
      </c>
    </row>
    <row r="93" spans="2:41" x14ac:dyDescent="0.25">
      <c r="B93" s="68"/>
      <c r="C93" s="44" t="s">
        <v>470</v>
      </c>
      <c r="D93" s="61">
        <f>$D$90*($E$90+($F$90/$D$34)+($G$90*($D$34^2))+($H$90*$D$81)+($I$90*($D$81^2))+($J$90*$K$90))</f>
        <v>121.04135284830336</v>
      </c>
    </row>
    <row r="94" spans="2:41" x14ac:dyDescent="0.25">
      <c r="B94" s="68"/>
      <c r="C94" s="44" t="s">
        <v>333</v>
      </c>
      <c r="D94" s="61">
        <f>D92-D93</f>
        <v>38.147768636564862</v>
      </c>
    </row>
    <row r="95" spans="2:41" x14ac:dyDescent="0.25">
      <c r="B95" s="68"/>
      <c r="C95" s="49" t="s">
        <v>331</v>
      </c>
      <c r="D95" s="61">
        <f>D94*114.8/102.8</f>
        <v>42.600815559121074</v>
      </c>
    </row>
    <row r="96" spans="2:41" x14ac:dyDescent="0.25">
      <c r="B96" s="68"/>
      <c r="C96" s="44"/>
      <c r="D96" s="44"/>
    </row>
    <row r="97" spans="2:41" x14ac:dyDescent="0.25">
      <c r="B97" s="68"/>
      <c r="C97" s="36" t="s">
        <v>151</v>
      </c>
      <c r="D97" s="36"/>
      <c r="E97" s="30"/>
      <c r="F97" s="33">
        <f t="shared" ref="F97:AI97" si="32">($D$95*F85*F26*$D$35)/100*$D$29</f>
        <v>123461.42357188879</v>
      </c>
      <c r="G97" s="33">
        <f t="shared" si="32"/>
        <v>122304.54530712508</v>
      </c>
      <c r="H97" s="33">
        <f t="shared" si="32"/>
        <v>121158.50741080003</v>
      </c>
      <c r="I97" s="33">
        <f t="shared" si="32"/>
        <v>120023.20830473432</v>
      </c>
      <c r="J97" s="33">
        <f t="shared" si="32"/>
        <v>118898.54736257289</v>
      </c>
      <c r="K97" s="33">
        <f t="shared" si="32"/>
        <v>117784.42490086607</v>
      </c>
      <c r="L97" s="33">
        <f t="shared" si="32"/>
        <v>116680.74217023431</v>
      </c>
      <c r="M97" s="33">
        <f t="shared" si="32"/>
        <v>115587.40134661546</v>
      </c>
      <c r="N97" s="33">
        <f t="shared" si="32"/>
        <v>114504.30552259432</v>
      </c>
      <c r="O97" s="33">
        <f t="shared" si="32"/>
        <v>113431.35869881322</v>
      </c>
      <c r="P97" s="33">
        <f t="shared" si="32"/>
        <v>112368.46577546324</v>
      </c>
      <c r="Q97" s="33">
        <f t="shared" si="32"/>
        <v>111315.53254385518</v>
      </c>
      <c r="R97" s="33">
        <f t="shared" si="32"/>
        <v>110272.46567806938</v>
      </c>
      <c r="S97" s="33">
        <f t="shared" si="32"/>
        <v>109239.1727266838</v>
      </c>
      <c r="T97" s="33">
        <f t="shared" si="32"/>
        <v>108215.56210457979</v>
      </c>
      <c r="U97" s="33">
        <f t="shared" si="32"/>
        <v>107201.54308482437</v>
      </c>
      <c r="V97" s="33">
        <f t="shared" si="32"/>
        <v>106197.02579062882</v>
      </c>
      <c r="W97" s="33">
        <f t="shared" si="32"/>
        <v>105201.92118738254</v>
      </c>
      <c r="X97" s="33">
        <f t="shared" si="32"/>
        <v>104216.14107476134</v>
      </c>
      <c r="Y97" s="33">
        <f t="shared" si="32"/>
        <v>103239.59807891017</v>
      </c>
      <c r="Z97" s="33">
        <f t="shared" si="32"/>
        <v>102272.20564469861</v>
      </c>
      <c r="AA97" s="33">
        <f t="shared" si="32"/>
        <v>101313.87802804918</v>
      </c>
      <c r="AB97" s="33">
        <f t="shared" si="32"/>
        <v>100364.53028833741</v>
      </c>
      <c r="AC97" s="33">
        <f t="shared" si="32"/>
        <v>99424.07828086325</v>
      </c>
      <c r="AD97" s="33">
        <f t="shared" si="32"/>
        <v>98492.43864939308</v>
      </c>
      <c r="AE97" s="33">
        <f t="shared" si="32"/>
        <v>97569.528818771301</v>
      </c>
      <c r="AF97" s="33">
        <f t="shared" si="32"/>
        <v>96655.266987601441</v>
      </c>
      <c r="AG97" s="33">
        <f t="shared" si="32"/>
        <v>95749.572120995785</v>
      </c>
      <c r="AH97" s="33">
        <f t="shared" si="32"/>
        <v>94852.363943392804</v>
      </c>
      <c r="AI97" s="33">
        <f t="shared" si="32"/>
        <v>93963.562931442095</v>
      </c>
      <c r="AM97" s="64"/>
      <c r="AN97" s="64"/>
      <c r="AO97" s="64"/>
    </row>
    <row r="98" spans="2:41" x14ac:dyDescent="0.25">
      <c r="B98" s="68"/>
      <c r="C98" s="44"/>
      <c r="D98" s="44"/>
    </row>
    <row r="99" spans="2:41" x14ac:dyDescent="0.25">
      <c r="B99" s="68" t="s">
        <v>460</v>
      </c>
      <c r="C99" s="44" t="s">
        <v>122</v>
      </c>
      <c r="D99" s="44"/>
    </row>
    <row r="100" spans="2:41" x14ac:dyDescent="0.25">
      <c r="C100" s="44" t="s">
        <v>104</v>
      </c>
      <c r="D100" s="44" t="s">
        <v>161</v>
      </c>
    </row>
    <row r="101" spans="2:41" x14ac:dyDescent="0.25">
      <c r="C101" s="44"/>
      <c r="D101" s="44" t="s">
        <v>7</v>
      </c>
      <c r="E101" s="41" t="s">
        <v>1</v>
      </c>
      <c r="F101" s="41" t="s">
        <v>2</v>
      </c>
      <c r="G101" s="41" t="s">
        <v>3</v>
      </c>
      <c r="H101" s="41" t="s">
        <v>4</v>
      </c>
      <c r="I101" s="41" t="s">
        <v>5</v>
      </c>
      <c r="J101" s="41" t="s">
        <v>6</v>
      </c>
      <c r="K101" s="41" t="s">
        <v>10</v>
      </c>
    </row>
    <row r="102" spans="2:41" x14ac:dyDescent="0.25">
      <c r="C102" s="44" t="s">
        <v>468</v>
      </c>
      <c r="D102" s="44">
        <v>28.586790000000001</v>
      </c>
      <c r="E102" s="41">
        <v>0.68912899999999999</v>
      </c>
      <c r="F102" s="41">
        <v>10.27355</v>
      </c>
      <c r="G102" s="41">
        <v>1.43E-5</v>
      </c>
      <c r="H102" s="41">
        <v>2.7139E-2</v>
      </c>
      <c r="I102" s="41">
        <v>9.4499999999999998E-4</v>
      </c>
      <c r="J102" s="41">
        <v>3.0450999999999999E-2</v>
      </c>
      <c r="K102" s="41">
        <v>1.4</v>
      </c>
    </row>
    <row r="103" spans="2:41" x14ac:dyDescent="0.25">
      <c r="C103" s="44"/>
      <c r="D103" s="44"/>
    </row>
    <row r="104" spans="2:41" x14ac:dyDescent="0.25">
      <c r="C104" s="44" t="s">
        <v>24</v>
      </c>
      <c r="D104" s="61">
        <f>$D$102*($E$102+($F$102/$D$33)+($G$102*($D$33^2))+($H$102*$D$80)+($I$102*($D$80^2))+($J$102*$K$102))</f>
        <v>35.52340576007348</v>
      </c>
    </row>
    <row r="105" spans="2:41" x14ac:dyDescent="0.25">
      <c r="C105" s="44" t="s">
        <v>471</v>
      </c>
      <c r="D105" s="61">
        <f>$D$102*($E$102+($F$102/$D$34)+($G$102*($D$34^2))+($H$102*$D$81)+($I$102*($D$81^2))+($J$102*$K$102))</f>
        <v>29.855707104771003</v>
      </c>
    </row>
    <row r="106" spans="2:41" x14ac:dyDescent="0.25">
      <c r="C106" s="44" t="s">
        <v>334</v>
      </c>
      <c r="D106" s="61">
        <f>D104-D105</f>
        <v>5.6676986553024769</v>
      </c>
    </row>
    <row r="107" spans="2:41" x14ac:dyDescent="0.25">
      <c r="C107" s="49" t="s">
        <v>331</v>
      </c>
      <c r="D107" s="61">
        <f>D106*114.8/102.8</f>
        <v>6.3292977201237779</v>
      </c>
      <c r="H107" s="64"/>
    </row>
    <row r="108" spans="2:41" x14ac:dyDescent="0.25">
      <c r="C108" s="49"/>
      <c r="D108" s="44"/>
    </row>
    <row r="109" spans="2:41" x14ac:dyDescent="0.25">
      <c r="C109" s="36" t="s">
        <v>152</v>
      </c>
      <c r="D109" s="44"/>
      <c r="F109" s="33">
        <f t="shared" ref="F109:AI109" si="33">($D$107*F85*F27*$D$35)/100*$D$29</f>
        <v>55028.813168072171</v>
      </c>
      <c r="G109" s="33">
        <f t="shared" si="33"/>
        <v>54513.173253610796</v>
      </c>
      <c r="H109" s="33">
        <f t="shared" si="33"/>
        <v>54002.365071946842</v>
      </c>
      <c r="I109" s="33">
        <f t="shared" si="33"/>
        <v>53496.343347993607</v>
      </c>
      <c r="J109" s="33">
        <f t="shared" si="33"/>
        <v>52995.063230908323</v>
      </c>
      <c r="K109" s="33">
        <f t="shared" si="33"/>
        <v>52498.480290116968</v>
      </c>
      <c r="L109" s="33">
        <f t="shared" si="33"/>
        <v>52006.550511376015</v>
      </c>
      <c r="M109" s="33">
        <f t="shared" si="33"/>
        <v>51519.230292871376</v>
      </c>
      <c r="N109" s="33">
        <f t="shared" si="33"/>
        <v>51036.476441353734</v>
      </c>
      <c r="O109" s="33">
        <f t="shared" si="33"/>
        <v>50558.246168310216</v>
      </c>
      <c r="P109" s="33">
        <f t="shared" si="33"/>
        <v>50084.49708617173</v>
      </c>
      <c r="Q109" s="33">
        <f t="shared" si="33"/>
        <v>49615.187204556154</v>
      </c>
      <c r="R109" s="33">
        <f t="shared" si="33"/>
        <v>49150.274926546401</v>
      </c>
      <c r="S109" s="33">
        <f t="shared" si="33"/>
        <v>48689.719045003585</v>
      </c>
      <c r="T109" s="33">
        <f t="shared" si="33"/>
        <v>48233.478738914637</v>
      </c>
      <c r="U109" s="33">
        <f t="shared" si="33"/>
        <v>47781.513569774157</v>
      </c>
      <c r="V109" s="33">
        <f t="shared" si="33"/>
        <v>47333.783478000194</v>
      </c>
      <c r="W109" s="33">
        <f t="shared" si="33"/>
        <v>46890.248779383655</v>
      </c>
      <c r="X109" s="33">
        <f t="shared" si="33"/>
        <v>46450.870161570718</v>
      </c>
      <c r="Y109" s="33">
        <f t="shared" si="33"/>
        <v>46015.608680578705</v>
      </c>
      <c r="Z109" s="33">
        <f t="shared" si="33"/>
        <v>45584.425757344092</v>
      </c>
      <c r="AA109" s="33">
        <f t="shared" si="33"/>
        <v>45157.283174303171</v>
      </c>
      <c r="AB109" s="33">
        <f t="shared" si="33"/>
        <v>44734.143072004641</v>
      </c>
      <c r="AC109" s="33">
        <f t="shared" si="33"/>
        <v>44314.967945753968</v>
      </c>
      <c r="AD109" s="33">
        <f t="shared" si="33"/>
        <v>43899.720642289249</v>
      </c>
      <c r="AE109" s="33">
        <f t="shared" si="33"/>
        <v>43488.364356488033</v>
      </c>
      <c r="AF109" s="33">
        <f t="shared" si="33"/>
        <v>43080.862628105227</v>
      </c>
      <c r="AG109" s="33">
        <f t="shared" si="33"/>
        <v>42677.179338541464</v>
      </c>
      <c r="AH109" s="33">
        <f t="shared" si="33"/>
        <v>42277.278707641693</v>
      </c>
      <c r="AI109" s="33">
        <f t="shared" si="33"/>
        <v>41881.125290523923</v>
      </c>
      <c r="AM109" s="64"/>
      <c r="AN109" s="64"/>
      <c r="AO109" s="64"/>
    </row>
    <row r="110" spans="2:41" x14ac:dyDescent="0.25">
      <c r="C110" s="36" t="s">
        <v>153</v>
      </c>
      <c r="D110" s="44"/>
      <c r="F110" s="33">
        <f t="shared" ref="F110:AI110" si="34">SUM(F109,F97)</f>
        <v>178490.23673996096</v>
      </c>
      <c r="G110" s="33">
        <f t="shared" si="34"/>
        <v>176817.71856073587</v>
      </c>
      <c r="H110" s="33">
        <f t="shared" si="34"/>
        <v>175160.87248274687</v>
      </c>
      <c r="I110" s="33">
        <f t="shared" si="34"/>
        <v>173519.55165272794</v>
      </c>
      <c r="J110" s="33">
        <f t="shared" si="34"/>
        <v>171893.61059348122</v>
      </c>
      <c r="K110" s="33">
        <f t="shared" si="34"/>
        <v>170282.90519098303</v>
      </c>
      <c r="L110" s="33">
        <f t="shared" si="34"/>
        <v>168687.29268161033</v>
      </c>
      <c r="M110" s="33">
        <f t="shared" si="34"/>
        <v>167106.63163948682</v>
      </c>
      <c r="N110" s="33">
        <f t="shared" si="34"/>
        <v>165540.78196394804</v>
      </c>
      <c r="O110" s="33">
        <f t="shared" si="34"/>
        <v>163989.60486712342</v>
      </c>
      <c r="P110" s="33">
        <f t="shared" si="34"/>
        <v>162452.96286163497</v>
      </c>
      <c r="Q110" s="33">
        <f t="shared" si="34"/>
        <v>160930.71974841133</v>
      </c>
      <c r="R110" s="33">
        <f t="shared" si="34"/>
        <v>159422.74060461577</v>
      </c>
      <c r="S110" s="33">
        <f t="shared" si="34"/>
        <v>157928.89177168737</v>
      </c>
      <c r="T110" s="33">
        <f t="shared" si="34"/>
        <v>156449.04084349441</v>
      </c>
      <c r="U110" s="33">
        <f t="shared" si="34"/>
        <v>154983.05665459853</v>
      </c>
      <c r="V110" s="33">
        <f t="shared" si="34"/>
        <v>153530.809268629</v>
      </c>
      <c r="W110" s="33">
        <f t="shared" si="34"/>
        <v>152092.1699667662</v>
      </c>
      <c r="X110" s="33">
        <f t="shared" si="34"/>
        <v>150667.01123633207</v>
      </c>
      <c r="Y110" s="33">
        <f t="shared" si="34"/>
        <v>149255.20675948888</v>
      </c>
      <c r="Z110" s="33">
        <f t="shared" si="34"/>
        <v>147856.63140204269</v>
      </c>
      <c r="AA110" s="33">
        <f t="shared" si="34"/>
        <v>146471.16120235235</v>
      </c>
      <c r="AB110" s="33">
        <f t="shared" si="34"/>
        <v>145098.67336034204</v>
      </c>
      <c r="AC110" s="33">
        <f t="shared" si="34"/>
        <v>143739.04622661721</v>
      </c>
      <c r="AD110" s="33">
        <f t="shared" si="34"/>
        <v>142392.15929168233</v>
      </c>
      <c r="AE110" s="33">
        <f t="shared" si="34"/>
        <v>141057.89317525935</v>
      </c>
      <c r="AF110" s="33">
        <f t="shared" si="34"/>
        <v>139736.12961570668</v>
      </c>
      <c r="AG110" s="33">
        <f t="shared" si="34"/>
        <v>138426.75145953725</v>
      </c>
      <c r="AH110" s="33">
        <f t="shared" si="34"/>
        <v>137129.64265103449</v>
      </c>
      <c r="AI110" s="33">
        <f t="shared" si="34"/>
        <v>135844.68822196603</v>
      </c>
      <c r="AM110" s="33"/>
      <c r="AN110" s="33"/>
      <c r="AO110" s="33"/>
    </row>
    <row r="111" spans="2:41" x14ac:dyDescent="0.25">
      <c r="C111" s="36"/>
      <c r="D111" s="44"/>
      <c r="F111" s="33"/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F111" s="33"/>
      <c r="AG111" s="33"/>
      <c r="AH111" s="33"/>
      <c r="AI111" s="33"/>
      <c r="AM111" s="33"/>
      <c r="AN111" s="33"/>
      <c r="AO111" s="33"/>
    </row>
    <row r="112" spans="2:41" x14ac:dyDescent="0.25">
      <c r="C112" s="30" t="s">
        <v>189</v>
      </c>
      <c r="D112" s="44"/>
      <c r="F112" s="33">
        <f t="shared" ref="F112:AI112" si="35">F97*(1/((1+$D$2)^F$4))</f>
        <v>118712.90728066229</v>
      </c>
      <c r="G112" s="33">
        <f t="shared" si="35"/>
        <v>113077.42724401355</v>
      </c>
      <c r="H112" s="33">
        <f t="shared" si="35"/>
        <v>107709.47191020427</v>
      </c>
      <c r="I112" s="33">
        <f t="shared" si="35"/>
        <v>102596.34147972068</v>
      </c>
      <c r="J112" s="33">
        <f t="shared" si="35"/>
        <v>97725.939031609261</v>
      </c>
      <c r="K112" s="33">
        <f t="shared" si="35"/>
        <v>93086.741903925926</v>
      </c>
      <c r="L112" s="33">
        <f t="shared" si="35"/>
        <v>88667.774432798236</v>
      </c>
      <c r="M112" s="33">
        <f t="shared" si="35"/>
        <v>84458.581985605022</v>
      </c>
      <c r="N112" s="33">
        <f t="shared" si="35"/>
        <v>80449.206226840586</v>
      </c>
      <c r="O112" s="33">
        <f t="shared" si="35"/>
        <v>76630.161558144755</v>
      </c>
      <c r="P112" s="33">
        <f t="shared" si="35"/>
        <v>72992.412676760592</v>
      </c>
      <c r="Q112" s="33">
        <f t="shared" si="35"/>
        <v>69527.353199325662</v>
      </c>
      <c r="R112" s="33">
        <f t="shared" si="35"/>
        <v>66226.785300424162</v>
      </c>
      <c r="S112" s="33">
        <f t="shared" si="35"/>
        <v>63082.900317727275</v>
      </c>
      <c r="T112" s="33">
        <f t="shared" si="35"/>
        <v>60088.260277836998</v>
      </c>
      <c r="U112" s="33">
        <f t="shared" si="35"/>
        <v>57235.780299125669</v>
      </c>
      <c r="V112" s="33">
        <f t="shared" si="35"/>
        <v>54518.711829939275</v>
      </c>
      <c r="W112" s="33">
        <f t="shared" si="35"/>
        <v>51930.626682508351</v>
      </c>
      <c r="X112" s="33">
        <f t="shared" si="35"/>
        <v>49465.401824793102</v>
      </c>
      <c r="Y112" s="33">
        <f t="shared" si="35"/>
        <v>47117.204894282593</v>
      </c>
      <c r="Z112" s="33">
        <f t="shared" si="35"/>
        <v>44880.480399475513</v>
      </c>
      <c r="AA112" s="33">
        <f t="shared" si="35"/>
        <v>42749.9365763975</v>
      </c>
      <c r="AB112" s="33">
        <f t="shared" si="35"/>
        <v>40720.532869059185</v>
      </c>
      <c r="AC112" s="33">
        <f t="shared" si="35"/>
        <v>38787.468004235809</v>
      </c>
      <c r="AD112" s="33">
        <f t="shared" si="35"/>
        <v>36946.168632355038</v>
      </c>
      <c r="AE112" s="33">
        <f t="shared" si="35"/>
        <v>35192.278507618714</v>
      </c>
      <c r="AF112" s="33">
        <f t="shared" si="35"/>
        <v>33521.648181760509</v>
      </c>
      <c r="AG112" s="33">
        <f t="shared" si="35"/>
        <v>31930.32518705658</v>
      </c>
      <c r="AH112" s="33">
        <f t="shared" si="35"/>
        <v>30414.544685363224</v>
      </c>
      <c r="AI112" s="33">
        <f t="shared" si="35"/>
        <v>28970.720561058883</v>
      </c>
      <c r="AJ112" s="66">
        <f t="shared" ref="AJ112:AJ116" si="36">SUM(F112:AI112)</f>
        <v>1919414.0939606291</v>
      </c>
      <c r="AM112" s="33"/>
      <c r="AN112" s="33"/>
      <c r="AO112" s="33"/>
    </row>
    <row r="113" spans="2:41" x14ac:dyDescent="0.25">
      <c r="C113" s="30" t="s">
        <v>190</v>
      </c>
      <c r="D113" s="44"/>
      <c r="F113" s="33">
        <f t="shared" ref="F113:AI113" si="37">F109*(1/((1+$D$2)^F$4))</f>
        <v>52912.320353915544</v>
      </c>
      <c r="G113" s="33">
        <f t="shared" si="37"/>
        <v>50400.493022938972</v>
      </c>
      <c r="H113" s="33">
        <f t="shared" si="37"/>
        <v>48007.905908578141</v>
      </c>
      <c r="I113" s="33">
        <f t="shared" si="37"/>
        <v>45728.898498630122</v>
      </c>
      <c r="J113" s="33">
        <f t="shared" si="37"/>
        <v>43558.078993909374</v>
      </c>
      <c r="K113" s="33">
        <f t="shared" si="37"/>
        <v>41490.311552037194</v>
      </c>
      <c r="L113" s="33">
        <f t="shared" si="37"/>
        <v>39520.704136787506</v>
      </c>
      <c r="M113" s="33">
        <f t="shared" si="37"/>
        <v>37644.596944242599</v>
      </c>
      <c r="N113" s="33">
        <f t="shared" si="37"/>
        <v>35857.551378376607</v>
      </c>
      <c r="O113" s="33">
        <f t="shared" si="37"/>
        <v>34155.339549984601</v>
      </c>
      <c r="P113" s="33">
        <f t="shared" si="37"/>
        <v>32533.93427411321</v>
      </c>
      <c r="Q113" s="33">
        <f t="shared" si="37"/>
        <v>30989.499542328373</v>
      </c>
      <c r="R113" s="33">
        <f t="shared" si="37"/>
        <v>29518.381447278782</v>
      </c>
      <c r="S113" s="33">
        <f t="shared" si="37"/>
        <v>28117.099538083901</v>
      </c>
      <c r="T113" s="33">
        <f t="shared" si="37"/>
        <v>26782.338586094746</v>
      </c>
      <c r="U113" s="33">
        <f t="shared" si="37"/>
        <v>25510.940741546379</v>
      </c>
      <c r="V113" s="33">
        <f t="shared" si="37"/>
        <v>24299.898062545853</v>
      </c>
      <c r="W113" s="33">
        <f t="shared" si="37"/>
        <v>23146.345398720376</v>
      </c>
      <c r="X113" s="33">
        <f t="shared" si="37"/>
        <v>22047.553612689258</v>
      </c>
      <c r="Y113" s="33">
        <f t="shared" si="37"/>
        <v>21000.92312332298</v>
      </c>
      <c r="Z113" s="33">
        <f t="shared" si="37"/>
        <v>20003.977755513253</v>
      </c>
      <c r="AA113" s="33">
        <f t="shared" si="37"/>
        <v>19054.358881903852</v>
      </c>
      <c r="AB113" s="33">
        <f t="shared" si="37"/>
        <v>18149.819842722216</v>
      </c>
      <c r="AC113" s="33">
        <f t="shared" si="37"/>
        <v>17288.220630510063</v>
      </c>
      <c r="AD113" s="33">
        <f t="shared" si="37"/>
        <v>16467.522827177869</v>
      </c>
      <c r="AE113" s="33">
        <f t="shared" si="37"/>
        <v>15685.784781404856</v>
      </c>
      <c r="AF113" s="33">
        <f t="shared" si="37"/>
        <v>14941.157014975155</v>
      </c>
      <c r="AG113" s="33">
        <f t="shared" si="37"/>
        <v>14231.877847182064</v>
      </c>
      <c r="AH113" s="33">
        <f t="shared" si="37"/>
        <v>13556.269226948374</v>
      </c>
      <c r="AI113" s="33">
        <f t="shared" si="37"/>
        <v>12912.732762802263</v>
      </c>
      <c r="AJ113" s="66">
        <f t="shared" si="36"/>
        <v>855514.83623726456</v>
      </c>
      <c r="AM113" s="33"/>
      <c r="AN113" s="33"/>
      <c r="AO113" s="33"/>
    </row>
    <row r="114" spans="2:41" x14ac:dyDescent="0.25">
      <c r="C114" s="30" t="s">
        <v>191</v>
      </c>
      <c r="D114" s="44"/>
      <c r="F114" s="33">
        <f>F113*$D$31</f>
        <v>42858.979486671597</v>
      </c>
      <c r="G114" s="33">
        <f t="shared" ref="G114:AI114" si="38">G113*$D$31</f>
        <v>40824.399348580569</v>
      </c>
      <c r="H114" s="33">
        <f t="shared" si="38"/>
        <v>38886.4037859483</v>
      </c>
      <c r="I114" s="33">
        <f t="shared" si="38"/>
        <v>37040.407783890398</v>
      </c>
      <c r="J114" s="33">
        <f t="shared" si="38"/>
        <v>35282.043985066593</v>
      </c>
      <c r="K114" s="33">
        <f t="shared" si="38"/>
        <v>33607.152357150131</v>
      </c>
      <c r="L114" s="33">
        <f t="shared" si="38"/>
        <v>32011.77035079788</v>
      </c>
      <c r="M114" s="33">
        <f t="shared" si="38"/>
        <v>30492.123524836508</v>
      </c>
      <c r="N114" s="33">
        <f t="shared" si="38"/>
        <v>29044.616616485055</v>
      </c>
      <c r="O114" s="33">
        <f t="shared" si="38"/>
        <v>27665.825035487527</v>
      </c>
      <c r="P114" s="33">
        <f t="shared" si="38"/>
        <v>26352.486762031702</v>
      </c>
      <c r="Q114" s="33">
        <f t="shared" si="38"/>
        <v>25101.494629285982</v>
      </c>
      <c r="R114" s="33">
        <f t="shared" si="38"/>
        <v>23909.888972295816</v>
      </c>
      <c r="S114" s="33">
        <f t="shared" si="38"/>
        <v>22774.850625847961</v>
      </c>
      <c r="T114" s="33">
        <f t="shared" si="38"/>
        <v>21693.694254736747</v>
      </c>
      <c r="U114" s="33">
        <f t="shared" si="38"/>
        <v>20663.862000652567</v>
      </c>
      <c r="V114" s="33">
        <f t="shared" si="38"/>
        <v>19682.917430662143</v>
      </c>
      <c r="W114" s="33">
        <f t="shared" si="38"/>
        <v>18748.539772963504</v>
      </c>
      <c r="X114" s="33">
        <f t="shared" si="38"/>
        <v>17858.5184262783</v>
      </c>
      <c r="Y114" s="33">
        <f t="shared" si="38"/>
        <v>17010.747729891616</v>
      </c>
      <c r="Z114" s="33">
        <f t="shared" si="38"/>
        <v>16203.221981965737</v>
      </c>
      <c r="AA114" s="33">
        <f t="shared" si="38"/>
        <v>15434.030694342122</v>
      </c>
      <c r="AB114" s="33">
        <f t="shared" si="38"/>
        <v>14701.354072604996</v>
      </c>
      <c r="AC114" s="33">
        <f t="shared" si="38"/>
        <v>14003.458710713152</v>
      </c>
      <c r="AD114" s="33">
        <f t="shared" si="38"/>
        <v>13338.693490014075</v>
      </c>
      <c r="AE114" s="33">
        <f t="shared" si="38"/>
        <v>12705.485672937935</v>
      </c>
      <c r="AF114" s="33">
        <f t="shared" si="38"/>
        <v>12102.337182129877</v>
      </c>
      <c r="AG114" s="33">
        <f t="shared" si="38"/>
        <v>11527.821056217474</v>
      </c>
      <c r="AH114" s="33">
        <f t="shared" si="38"/>
        <v>10980.578073828185</v>
      </c>
      <c r="AI114" s="33">
        <f t="shared" si="38"/>
        <v>10459.313537869833</v>
      </c>
      <c r="AJ114" s="66">
        <f t="shared" si="36"/>
        <v>692967.01735218416</v>
      </c>
      <c r="AM114" s="33"/>
      <c r="AN114" s="33"/>
      <c r="AO114" s="33"/>
    </row>
    <row r="115" spans="2:41" x14ac:dyDescent="0.25">
      <c r="C115" s="30" t="s">
        <v>192</v>
      </c>
      <c r="D115" s="44"/>
      <c r="F115" s="33">
        <f>F113*$D$32</f>
        <v>10053.340867243953</v>
      </c>
      <c r="G115" s="33">
        <f t="shared" ref="G115:AI115" si="39">G113*$D$32</f>
        <v>9576.0936743584043</v>
      </c>
      <c r="H115" s="33">
        <f t="shared" si="39"/>
        <v>9121.5021226298468</v>
      </c>
      <c r="I115" s="33">
        <f t="shared" si="39"/>
        <v>8688.4907147397225</v>
      </c>
      <c r="J115" s="33">
        <f t="shared" si="39"/>
        <v>8276.0350088427804</v>
      </c>
      <c r="K115" s="33">
        <f t="shared" si="39"/>
        <v>7883.1591948870673</v>
      </c>
      <c r="L115" s="33">
        <f t="shared" si="39"/>
        <v>7508.9337859896259</v>
      </c>
      <c r="M115" s="33">
        <f t="shared" si="39"/>
        <v>7152.4734194060939</v>
      </c>
      <c r="N115" s="33">
        <f t="shared" si="39"/>
        <v>6812.9347618915554</v>
      </c>
      <c r="O115" s="33">
        <f t="shared" si="39"/>
        <v>6489.5145144970738</v>
      </c>
      <c r="P115" s="33">
        <f t="shared" si="39"/>
        <v>6181.4475120815096</v>
      </c>
      <c r="Q115" s="33">
        <f t="shared" si="39"/>
        <v>5888.0049130423913</v>
      </c>
      <c r="R115" s="33">
        <f t="shared" si="39"/>
        <v>5608.4924749829688</v>
      </c>
      <c r="S115" s="33">
        <f t="shared" si="39"/>
        <v>5342.2489122359411</v>
      </c>
      <c r="T115" s="33">
        <f t="shared" si="39"/>
        <v>5088.6443313580021</v>
      </c>
      <c r="U115" s="33">
        <f t="shared" si="39"/>
        <v>4847.0787408938122</v>
      </c>
      <c r="V115" s="33">
        <f t="shared" si="39"/>
        <v>4616.9806318837118</v>
      </c>
      <c r="W115" s="33">
        <f t="shared" si="39"/>
        <v>4397.8056257568714</v>
      </c>
      <c r="X115" s="33">
        <f t="shared" si="39"/>
        <v>4189.0351864109589</v>
      </c>
      <c r="Y115" s="33">
        <f t="shared" si="39"/>
        <v>3990.1753934313665</v>
      </c>
      <c r="Z115" s="33">
        <f t="shared" si="39"/>
        <v>3800.7557735475179</v>
      </c>
      <c r="AA115" s="33">
        <f t="shared" si="39"/>
        <v>3620.3281875617322</v>
      </c>
      <c r="AB115" s="33">
        <f t="shared" si="39"/>
        <v>3448.4657701172209</v>
      </c>
      <c r="AC115" s="33">
        <f t="shared" si="39"/>
        <v>3284.761919796912</v>
      </c>
      <c r="AD115" s="33">
        <f t="shared" si="39"/>
        <v>3128.8293371637951</v>
      </c>
      <c r="AE115" s="33">
        <f t="shared" si="39"/>
        <v>2980.2991084669229</v>
      </c>
      <c r="AF115" s="33">
        <f t="shared" si="39"/>
        <v>2838.8198328452795</v>
      </c>
      <c r="AG115" s="33">
        <f t="shared" si="39"/>
        <v>2704.0567909645924</v>
      </c>
      <c r="AH115" s="33">
        <f t="shared" si="39"/>
        <v>2575.6911531201913</v>
      </c>
      <c r="AI115" s="33">
        <f t="shared" si="39"/>
        <v>2453.4192249324301</v>
      </c>
      <c r="AJ115" s="66">
        <f t="shared" si="36"/>
        <v>162547.8188850802</v>
      </c>
      <c r="AM115" s="33"/>
      <c r="AN115" s="33"/>
      <c r="AO115" s="33"/>
    </row>
    <row r="116" spans="2:41" x14ac:dyDescent="0.25">
      <c r="C116" s="30" t="s">
        <v>193</v>
      </c>
      <c r="D116" s="44"/>
      <c r="F116" s="33">
        <f t="shared" ref="F116:AI116" si="40">F110*(1/((1+$D$2)^F$4))</f>
        <v>171625.22763457784</v>
      </c>
      <c r="G116" s="33">
        <f t="shared" si="40"/>
        <v>163477.92026695251</v>
      </c>
      <c r="H116" s="33">
        <f t="shared" si="40"/>
        <v>155717.37781878241</v>
      </c>
      <c r="I116" s="33">
        <f t="shared" si="40"/>
        <v>148325.23997835082</v>
      </c>
      <c r="J116" s="33">
        <f t="shared" si="40"/>
        <v>141284.01802551863</v>
      </c>
      <c r="K116" s="33">
        <f t="shared" si="40"/>
        <v>134577.05345596312</v>
      </c>
      <c r="L116" s="33">
        <f t="shared" si="40"/>
        <v>128188.47856958574</v>
      </c>
      <c r="M116" s="33">
        <f t="shared" si="40"/>
        <v>122103.17892984761</v>
      </c>
      <c r="N116" s="33">
        <f t="shared" si="40"/>
        <v>116306.75760521719</v>
      </c>
      <c r="O116" s="33">
        <f t="shared" si="40"/>
        <v>110785.50110812935</v>
      </c>
      <c r="P116" s="33">
        <f t="shared" si="40"/>
        <v>105526.34695087381</v>
      </c>
      <c r="Q116" s="33">
        <f t="shared" si="40"/>
        <v>100516.85274165403</v>
      </c>
      <c r="R116" s="33">
        <f t="shared" si="40"/>
        <v>95745.16674770294</v>
      </c>
      <c r="S116" s="33">
        <f t="shared" si="40"/>
        <v>91199.999855811169</v>
      </c>
      <c r="T116" s="33">
        <f t="shared" si="40"/>
        <v>86870.598863931737</v>
      </c>
      <c r="U116" s="33">
        <f t="shared" si="40"/>
        <v>82746.721040672055</v>
      </c>
      <c r="V116" s="33">
        <f t="shared" si="40"/>
        <v>78818.609892485125</v>
      </c>
      <c r="W116" s="33">
        <f t="shared" si="40"/>
        <v>75076.972081228727</v>
      </c>
      <c r="X116" s="33">
        <f t="shared" si="40"/>
        <v>71512.955437482364</v>
      </c>
      <c r="Y116" s="33">
        <f t="shared" si="40"/>
        <v>68118.128017605573</v>
      </c>
      <c r="Z116" s="33">
        <f t="shared" si="40"/>
        <v>64884.458154988759</v>
      </c>
      <c r="AA116" s="33">
        <f t="shared" si="40"/>
        <v>61804.295458301356</v>
      </c>
      <c r="AB116" s="33">
        <f t="shared" si="40"/>
        <v>58870.352711781394</v>
      </c>
      <c r="AC116" s="33">
        <f t="shared" si="40"/>
        <v>56075.688634745871</v>
      </c>
      <c r="AD116" s="33">
        <f t="shared" si="40"/>
        <v>53413.691459532907</v>
      </c>
      <c r="AE116" s="33">
        <f t="shared" si="40"/>
        <v>50878.063289023572</v>
      </c>
      <c r="AF116" s="33">
        <f t="shared" si="40"/>
        <v>48462.805196735666</v>
      </c>
      <c r="AG116" s="33">
        <f t="shared" si="40"/>
        <v>46162.203034238642</v>
      </c>
      <c r="AH116" s="33">
        <f t="shared" si="40"/>
        <v>43970.813912311598</v>
      </c>
      <c r="AI116" s="33">
        <f t="shared" si="40"/>
        <v>41883.453323861148</v>
      </c>
      <c r="AJ116" s="66">
        <f t="shared" si="36"/>
        <v>2774928.9301978936</v>
      </c>
      <c r="AM116" s="33"/>
      <c r="AN116" s="33"/>
      <c r="AO116" s="33"/>
    </row>
    <row r="118" spans="2:41" x14ac:dyDescent="0.25">
      <c r="B118" s="27" t="s">
        <v>78</v>
      </c>
      <c r="C118" s="27" t="s">
        <v>78</v>
      </c>
    </row>
    <row r="119" spans="2:41" x14ac:dyDescent="0.25">
      <c r="C119" s="41" t="s">
        <v>120</v>
      </c>
      <c r="D119" s="41" t="s">
        <v>83</v>
      </c>
      <c r="E119" s="41" t="s">
        <v>127</v>
      </c>
      <c r="F119" s="41" t="s">
        <v>128</v>
      </c>
    </row>
    <row r="120" spans="2:41" x14ac:dyDescent="0.25">
      <c r="C120" s="41" t="s">
        <v>80</v>
      </c>
      <c r="D120" s="41">
        <f>'Input sheet'!E33</f>
        <v>1</v>
      </c>
      <c r="E120" s="31">
        <v>7850553.5</v>
      </c>
      <c r="F120" s="31">
        <f>D120*E120</f>
        <v>7850553.5</v>
      </c>
    </row>
    <row r="121" spans="2:41" x14ac:dyDescent="0.25">
      <c r="C121" s="41" t="s">
        <v>285</v>
      </c>
      <c r="D121" s="41">
        <f>'Input sheet'!E34</f>
        <v>0</v>
      </c>
      <c r="E121" s="31">
        <v>416853.85714285716</v>
      </c>
      <c r="F121" s="31">
        <f>D121*E121</f>
        <v>0</v>
      </c>
    </row>
    <row r="122" spans="2:41" x14ac:dyDescent="0.25">
      <c r="C122" s="41" t="s">
        <v>286</v>
      </c>
      <c r="D122" s="41">
        <f>'Input sheet'!E35</f>
        <v>0</v>
      </c>
      <c r="E122" s="31">
        <v>24375.166666666668</v>
      </c>
      <c r="F122" s="31">
        <f>D122*E122</f>
        <v>0</v>
      </c>
    </row>
    <row r="123" spans="2:41" x14ac:dyDescent="0.25">
      <c r="C123" s="41" t="s">
        <v>125</v>
      </c>
      <c r="F123" s="31">
        <f>SUM(F120:F122)</f>
        <v>7850553.5</v>
      </c>
    </row>
    <row r="124" spans="2:41" x14ac:dyDescent="0.25">
      <c r="C124" s="41" t="s">
        <v>329</v>
      </c>
      <c r="F124" s="31">
        <f>F123/15</f>
        <v>523370.23333333334</v>
      </c>
    </row>
    <row r="125" spans="2:41" x14ac:dyDescent="0.25">
      <c r="C125" s="41" t="s">
        <v>330</v>
      </c>
      <c r="F125" s="31">
        <f>F124*114.8/102.8</f>
        <v>584464.03488975356</v>
      </c>
    </row>
    <row r="126" spans="2:41" x14ac:dyDescent="0.25">
      <c r="C126" s="41" t="s">
        <v>129</v>
      </c>
      <c r="D126" s="1">
        <f>'Input sheet'!E36</f>
        <v>0</v>
      </c>
      <c r="F126" s="31">
        <f>F125*D126</f>
        <v>0</v>
      </c>
    </row>
    <row r="128" spans="2:41" x14ac:dyDescent="0.25">
      <c r="C128" s="30" t="s">
        <v>194</v>
      </c>
      <c r="F128" s="32">
        <f>$F$126*$D$26</f>
        <v>0</v>
      </c>
      <c r="G128" s="32">
        <f>F128*(1+$D$28)</f>
        <v>0</v>
      </c>
      <c r="H128" s="32">
        <f t="shared" ref="H128:AI128" si="41">G128*(1+$D$28)</f>
        <v>0</v>
      </c>
      <c r="I128" s="32">
        <f t="shared" si="41"/>
        <v>0</v>
      </c>
      <c r="J128" s="32">
        <f t="shared" si="41"/>
        <v>0</v>
      </c>
      <c r="K128" s="32">
        <f t="shared" si="41"/>
        <v>0</v>
      </c>
      <c r="L128" s="32">
        <f t="shared" si="41"/>
        <v>0</v>
      </c>
      <c r="M128" s="32">
        <f t="shared" si="41"/>
        <v>0</v>
      </c>
      <c r="N128" s="32">
        <f t="shared" si="41"/>
        <v>0</v>
      </c>
      <c r="O128" s="32">
        <f t="shared" si="41"/>
        <v>0</v>
      </c>
      <c r="P128" s="32">
        <f t="shared" si="41"/>
        <v>0</v>
      </c>
      <c r="Q128" s="32">
        <f t="shared" si="41"/>
        <v>0</v>
      </c>
      <c r="R128" s="32">
        <f t="shared" si="41"/>
        <v>0</v>
      </c>
      <c r="S128" s="32">
        <f t="shared" si="41"/>
        <v>0</v>
      </c>
      <c r="T128" s="32">
        <f t="shared" si="41"/>
        <v>0</v>
      </c>
      <c r="U128" s="32">
        <f t="shared" si="41"/>
        <v>0</v>
      </c>
      <c r="V128" s="32">
        <f t="shared" si="41"/>
        <v>0</v>
      </c>
      <c r="W128" s="32">
        <f t="shared" si="41"/>
        <v>0</v>
      </c>
      <c r="X128" s="32">
        <f t="shared" si="41"/>
        <v>0</v>
      </c>
      <c r="Y128" s="32">
        <f t="shared" si="41"/>
        <v>0</v>
      </c>
      <c r="Z128" s="32">
        <f t="shared" si="41"/>
        <v>0</v>
      </c>
      <c r="AA128" s="32">
        <f t="shared" si="41"/>
        <v>0</v>
      </c>
      <c r="AB128" s="32">
        <f t="shared" si="41"/>
        <v>0</v>
      </c>
      <c r="AC128" s="32">
        <f t="shared" si="41"/>
        <v>0</v>
      </c>
      <c r="AD128" s="32">
        <f t="shared" si="41"/>
        <v>0</v>
      </c>
      <c r="AE128" s="32">
        <f t="shared" si="41"/>
        <v>0</v>
      </c>
      <c r="AF128" s="32">
        <f t="shared" si="41"/>
        <v>0</v>
      </c>
      <c r="AG128" s="32">
        <f t="shared" si="41"/>
        <v>0</v>
      </c>
      <c r="AH128" s="32">
        <f t="shared" si="41"/>
        <v>0</v>
      </c>
      <c r="AI128" s="32">
        <f t="shared" si="41"/>
        <v>0</v>
      </c>
    </row>
    <row r="129" spans="2:36" x14ac:dyDescent="0.25">
      <c r="C129" s="30" t="s">
        <v>195</v>
      </c>
      <c r="F129" s="32">
        <f>$F$126*$D$27</f>
        <v>0</v>
      </c>
      <c r="G129" s="32">
        <f>F129*(1+$D$28)</f>
        <v>0</v>
      </c>
      <c r="H129" s="32">
        <f t="shared" ref="H129:AI129" si="42">G129*(1+$D$28)</f>
        <v>0</v>
      </c>
      <c r="I129" s="32">
        <f t="shared" si="42"/>
        <v>0</v>
      </c>
      <c r="J129" s="32">
        <f t="shared" si="42"/>
        <v>0</v>
      </c>
      <c r="K129" s="32">
        <f t="shared" si="42"/>
        <v>0</v>
      </c>
      <c r="L129" s="32">
        <f t="shared" si="42"/>
        <v>0</v>
      </c>
      <c r="M129" s="32">
        <f t="shared" si="42"/>
        <v>0</v>
      </c>
      <c r="N129" s="32">
        <f t="shared" si="42"/>
        <v>0</v>
      </c>
      <c r="O129" s="32">
        <f t="shared" si="42"/>
        <v>0</v>
      </c>
      <c r="P129" s="32">
        <f t="shared" si="42"/>
        <v>0</v>
      </c>
      <c r="Q129" s="32">
        <f t="shared" si="42"/>
        <v>0</v>
      </c>
      <c r="R129" s="32">
        <f t="shared" si="42"/>
        <v>0</v>
      </c>
      <c r="S129" s="32">
        <f t="shared" si="42"/>
        <v>0</v>
      </c>
      <c r="T129" s="32">
        <f t="shared" si="42"/>
        <v>0</v>
      </c>
      <c r="U129" s="32">
        <f t="shared" si="42"/>
        <v>0</v>
      </c>
      <c r="V129" s="32">
        <f t="shared" si="42"/>
        <v>0</v>
      </c>
      <c r="W129" s="32">
        <f t="shared" si="42"/>
        <v>0</v>
      </c>
      <c r="X129" s="32">
        <f t="shared" si="42"/>
        <v>0</v>
      </c>
      <c r="Y129" s="32">
        <f t="shared" si="42"/>
        <v>0</v>
      </c>
      <c r="Z129" s="32">
        <f t="shared" si="42"/>
        <v>0</v>
      </c>
      <c r="AA129" s="32">
        <f t="shared" si="42"/>
        <v>0</v>
      </c>
      <c r="AB129" s="32">
        <f t="shared" si="42"/>
        <v>0</v>
      </c>
      <c r="AC129" s="32">
        <f t="shared" si="42"/>
        <v>0</v>
      </c>
      <c r="AD129" s="32">
        <f t="shared" si="42"/>
        <v>0</v>
      </c>
      <c r="AE129" s="32">
        <f t="shared" si="42"/>
        <v>0</v>
      </c>
      <c r="AF129" s="32">
        <f t="shared" si="42"/>
        <v>0</v>
      </c>
      <c r="AG129" s="32">
        <f t="shared" si="42"/>
        <v>0</v>
      </c>
      <c r="AH129" s="32">
        <f t="shared" si="42"/>
        <v>0</v>
      </c>
      <c r="AI129" s="32">
        <f t="shared" si="42"/>
        <v>0</v>
      </c>
    </row>
    <row r="130" spans="2:36" x14ac:dyDescent="0.25">
      <c r="C130" s="30" t="s">
        <v>154</v>
      </c>
      <c r="F130" s="32">
        <f>F126</f>
        <v>0</v>
      </c>
      <c r="G130" s="32">
        <f>F130*(1+$D$28)</f>
        <v>0</v>
      </c>
      <c r="H130" s="32">
        <f t="shared" ref="H130:AI130" si="43">G130*(1+$D$28)</f>
        <v>0</v>
      </c>
      <c r="I130" s="32">
        <f t="shared" si="43"/>
        <v>0</v>
      </c>
      <c r="J130" s="32">
        <f t="shared" si="43"/>
        <v>0</v>
      </c>
      <c r="K130" s="32">
        <f t="shared" si="43"/>
        <v>0</v>
      </c>
      <c r="L130" s="32">
        <f t="shared" si="43"/>
        <v>0</v>
      </c>
      <c r="M130" s="32">
        <f t="shared" si="43"/>
        <v>0</v>
      </c>
      <c r="N130" s="32">
        <f t="shared" si="43"/>
        <v>0</v>
      </c>
      <c r="O130" s="32">
        <f t="shared" si="43"/>
        <v>0</v>
      </c>
      <c r="P130" s="32">
        <f t="shared" si="43"/>
        <v>0</v>
      </c>
      <c r="Q130" s="32">
        <f t="shared" si="43"/>
        <v>0</v>
      </c>
      <c r="R130" s="32">
        <f t="shared" si="43"/>
        <v>0</v>
      </c>
      <c r="S130" s="32">
        <f t="shared" si="43"/>
        <v>0</v>
      </c>
      <c r="T130" s="32">
        <f t="shared" si="43"/>
        <v>0</v>
      </c>
      <c r="U130" s="32">
        <f t="shared" si="43"/>
        <v>0</v>
      </c>
      <c r="V130" s="32">
        <f t="shared" si="43"/>
        <v>0</v>
      </c>
      <c r="W130" s="32">
        <f t="shared" si="43"/>
        <v>0</v>
      </c>
      <c r="X130" s="32">
        <f t="shared" si="43"/>
        <v>0</v>
      </c>
      <c r="Y130" s="32">
        <f t="shared" si="43"/>
        <v>0</v>
      </c>
      <c r="Z130" s="32">
        <f t="shared" si="43"/>
        <v>0</v>
      </c>
      <c r="AA130" s="32">
        <f t="shared" si="43"/>
        <v>0</v>
      </c>
      <c r="AB130" s="32">
        <f t="shared" si="43"/>
        <v>0</v>
      </c>
      <c r="AC130" s="32">
        <f t="shared" si="43"/>
        <v>0</v>
      </c>
      <c r="AD130" s="32">
        <f t="shared" si="43"/>
        <v>0</v>
      </c>
      <c r="AE130" s="32">
        <f t="shared" si="43"/>
        <v>0</v>
      </c>
      <c r="AF130" s="32">
        <f t="shared" si="43"/>
        <v>0</v>
      </c>
      <c r="AG130" s="32">
        <f t="shared" si="43"/>
        <v>0</v>
      </c>
      <c r="AH130" s="32">
        <f t="shared" si="43"/>
        <v>0</v>
      </c>
      <c r="AI130" s="32">
        <f t="shared" si="43"/>
        <v>0</v>
      </c>
    </row>
    <row r="132" spans="2:36" x14ac:dyDescent="0.25">
      <c r="C132" s="30" t="s">
        <v>196</v>
      </c>
      <c r="F132" s="32">
        <f t="shared" ref="F132:AI132" si="44">F128*(1/((1+$D$2)^F$4))</f>
        <v>0</v>
      </c>
      <c r="G132" s="32">
        <f t="shared" si="44"/>
        <v>0</v>
      </c>
      <c r="H132" s="32">
        <f t="shared" si="44"/>
        <v>0</v>
      </c>
      <c r="I132" s="32">
        <f t="shared" si="44"/>
        <v>0</v>
      </c>
      <c r="J132" s="32">
        <f t="shared" si="44"/>
        <v>0</v>
      </c>
      <c r="K132" s="32">
        <f t="shared" si="44"/>
        <v>0</v>
      </c>
      <c r="L132" s="32">
        <f t="shared" si="44"/>
        <v>0</v>
      </c>
      <c r="M132" s="32">
        <f t="shared" si="44"/>
        <v>0</v>
      </c>
      <c r="N132" s="32">
        <f t="shared" si="44"/>
        <v>0</v>
      </c>
      <c r="O132" s="32">
        <f t="shared" si="44"/>
        <v>0</v>
      </c>
      <c r="P132" s="32">
        <f t="shared" si="44"/>
        <v>0</v>
      </c>
      <c r="Q132" s="32">
        <f t="shared" si="44"/>
        <v>0</v>
      </c>
      <c r="R132" s="32">
        <f t="shared" si="44"/>
        <v>0</v>
      </c>
      <c r="S132" s="32">
        <f t="shared" si="44"/>
        <v>0</v>
      </c>
      <c r="T132" s="32">
        <f t="shared" si="44"/>
        <v>0</v>
      </c>
      <c r="U132" s="32">
        <f t="shared" si="44"/>
        <v>0</v>
      </c>
      <c r="V132" s="32">
        <f t="shared" si="44"/>
        <v>0</v>
      </c>
      <c r="W132" s="32">
        <f t="shared" si="44"/>
        <v>0</v>
      </c>
      <c r="X132" s="32">
        <f t="shared" si="44"/>
        <v>0</v>
      </c>
      <c r="Y132" s="32">
        <f t="shared" si="44"/>
        <v>0</v>
      </c>
      <c r="Z132" s="32">
        <f t="shared" si="44"/>
        <v>0</v>
      </c>
      <c r="AA132" s="32">
        <f t="shared" si="44"/>
        <v>0</v>
      </c>
      <c r="AB132" s="32">
        <f t="shared" si="44"/>
        <v>0</v>
      </c>
      <c r="AC132" s="32">
        <f t="shared" si="44"/>
        <v>0</v>
      </c>
      <c r="AD132" s="32">
        <f t="shared" si="44"/>
        <v>0</v>
      </c>
      <c r="AE132" s="32">
        <f t="shared" si="44"/>
        <v>0</v>
      </c>
      <c r="AF132" s="32">
        <f t="shared" si="44"/>
        <v>0</v>
      </c>
      <c r="AG132" s="32">
        <f t="shared" si="44"/>
        <v>0</v>
      </c>
      <c r="AH132" s="32">
        <f t="shared" si="44"/>
        <v>0</v>
      </c>
      <c r="AI132" s="32">
        <f t="shared" si="44"/>
        <v>0</v>
      </c>
      <c r="AJ132" s="66">
        <f t="shared" ref="AJ132:AJ136" si="45">SUM(F132:AI132)</f>
        <v>0</v>
      </c>
    </row>
    <row r="133" spans="2:36" x14ac:dyDescent="0.25">
      <c r="C133" s="30" t="s">
        <v>197</v>
      </c>
      <c r="F133" s="32">
        <f t="shared" ref="F133:AI133" si="46">F129*(1/((1+$D$2)^F$4))</f>
        <v>0</v>
      </c>
      <c r="G133" s="32">
        <f t="shared" si="46"/>
        <v>0</v>
      </c>
      <c r="H133" s="32">
        <f t="shared" si="46"/>
        <v>0</v>
      </c>
      <c r="I133" s="32">
        <f t="shared" si="46"/>
        <v>0</v>
      </c>
      <c r="J133" s="32">
        <f t="shared" si="46"/>
        <v>0</v>
      </c>
      <c r="K133" s="32">
        <f t="shared" si="46"/>
        <v>0</v>
      </c>
      <c r="L133" s="32">
        <f t="shared" si="46"/>
        <v>0</v>
      </c>
      <c r="M133" s="32">
        <f t="shared" si="46"/>
        <v>0</v>
      </c>
      <c r="N133" s="32">
        <f t="shared" si="46"/>
        <v>0</v>
      </c>
      <c r="O133" s="32">
        <f t="shared" si="46"/>
        <v>0</v>
      </c>
      <c r="P133" s="32">
        <f t="shared" si="46"/>
        <v>0</v>
      </c>
      <c r="Q133" s="32">
        <f t="shared" si="46"/>
        <v>0</v>
      </c>
      <c r="R133" s="32">
        <f t="shared" si="46"/>
        <v>0</v>
      </c>
      <c r="S133" s="32">
        <f t="shared" si="46"/>
        <v>0</v>
      </c>
      <c r="T133" s="32">
        <f t="shared" si="46"/>
        <v>0</v>
      </c>
      <c r="U133" s="32">
        <f t="shared" si="46"/>
        <v>0</v>
      </c>
      <c r="V133" s="32">
        <f t="shared" si="46"/>
        <v>0</v>
      </c>
      <c r="W133" s="32">
        <f t="shared" si="46"/>
        <v>0</v>
      </c>
      <c r="X133" s="32">
        <f t="shared" si="46"/>
        <v>0</v>
      </c>
      <c r="Y133" s="32">
        <f t="shared" si="46"/>
        <v>0</v>
      </c>
      <c r="Z133" s="32">
        <f t="shared" si="46"/>
        <v>0</v>
      </c>
      <c r="AA133" s="32">
        <f t="shared" si="46"/>
        <v>0</v>
      </c>
      <c r="AB133" s="32">
        <f t="shared" si="46"/>
        <v>0</v>
      </c>
      <c r="AC133" s="32">
        <f t="shared" si="46"/>
        <v>0</v>
      </c>
      <c r="AD133" s="32">
        <f t="shared" si="46"/>
        <v>0</v>
      </c>
      <c r="AE133" s="32">
        <f t="shared" si="46"/>
        <v>0</v>
      </c>
      <c r="AF133" s="32">
        <f t="shared" si="46"/>
        <v>0</v>
      </c>
      <c r="AG133" s="32">
        <f t="shared" si="46"/>
        <v>0</v>
      </c>
      <c r="AH133" s="32">
        <f t="shared" si="46"/>
        <v>0</v>
      </c>
      <c r="AI133" s="32">
        <f t="shared" si="46"/>
        <v>0</v>
      </c>
      <c r="AJ133" s="66">
        <f t="shared" si="45"/>
        <v>0</v>
      </c>
    </row>
    <row r="134" spans="2:36" x14ac:dyDescent="0.25">
      <c r="C134" s="30" t="s">
        <v>198</v>
      </c>
      <c r="F134" s="32">
        <f>F133*$D$31</f>
        <v>0</v>
      </c>
      <c r="G134" s="32">
        <f t="shared" ref="G134:AI134" si="47">G133*$D$31</f>
        <v>0</v>
      </c>
      <c r="H134" s="32">
        <f t="shared" si="47"/>
        <v>0</v>
      </c>
      <c r="I134" s="32">
        <f t="shared" si="47"/>
        <v>0</v>
      </c>
      <c r="J134" s="32">
        <f t="shared" si="47"/>
        <v>0</v>
      </c>
      <c r="K134" s="32">
        <f t="shared" si="47"/>
        <v>0</v>
      </c>
      <c r="L134" s="32">
        <f t="shared" si="47"/>
        <v>0</v>
      </c>
      <c r="M134" s="32">
        <f t="shared" si="47"/>
        <v>0</v>
      </c>
      <c r="N134" s="32">
        <f t="shared" si="47"/>
        <v>0</v>
      </c>
      <c r="O134" s="32">
        <f t="shared" si="47"/>
        <v>0</v>
      </c>
      <c r="P134" s="32">
        <f t="shared" si="47"/>
        <v>0</v>
      </c>
      <c r="Q134" s="32">
        <f t="shared" si="47"/>
        <v>0</v>
      </c>
      <c r="R134" s="32">
        <f t="shared" si="47"/>
        <v>0</v>
      </c>
      <c r="S134" s="32">
        <f t="shared" si="47"/>
        <v>0</v>
      </c>
      <c r="T134" s="32">
        <f t="shared" si="47"/>
        <v>0</v>
      </c>
      <c r="U134" s="32">
        <f t="shared" si="47"/>
        <v>0</v>
      </c>
      <c r="V134" s="32">
        <f t="shared" si="47"/>
        <v>0</v>
      </c>
      <c r="W134" s="32">
        <f t="shared" si="47"/>
        <v>0</v>
      </c>
      <c r="X134" s="32">
        <f t="shared" si="47"/>
        <v>0</v>
      </c>
      <c r="Y134" s="32">
        <f t="shared" si="47"/>
        <v>0</v>
      </c>
      <c r="Z134" s="32">
        <f t="shared" si="47"/>
        <v>0</v>
      </c>
      <c r="AA134" s="32">
        <f t="shared" si="47"/>
        <v>0</v>
      </c>
      <c r="AB134" s="32">
        <f t="shared" si="47"/>
        <v>0</v>
      </c>
      <c r="AC134" s="32">
        <f t="shared" si="47"/>
        <v>0</v>
      </c>
      <c r="AD134" s="32">
        <f t="shared" si="47"/>
        <v>0</v>
      </c>
      <c r="AE134" s="32">
        <f t="shared" si="47"/>
        <v>0</v>
      </c>
      <c r="AF134" s="32">
        <f t="shared" si="47"/>
        <v>0</v>
      </c>
      <c r="AG134" s="32">
        <f t="shared" si="47"/>
        <v>0</v>
      </c>
      <c r="AH134" s="32">
        <f t="shared" si="47"/>
        <v>0</v>
      </c>
      <c r="AI134" s="32">
        <f t="shared" si="47"/>
        <v>0</v>
      </c>
      <c r="AJ134" s="66">
        <f t="shared" si="45"/>
        <v>0</v>
      </c>
    </row>
    <row r="135" spans="2:36" x14ac:dyDescent="0.25">
      <c r="C135" s="30" t="s">
        <v>199</v>
      </c>
      <c r="F135" s="32">
        <f>F133*$D$32</f>
        <v>0</v>
      </c>
      <c r="G135" s="32">
        <f t="shared" ref="G135:AI135" si="48">G133*$D$32</f>
        <v>0</v>
      </c>
      <c r="H135" s="32">
        <f t="shared" si="48"/>
        <v>0</v>
      </c>
      <c r="I135" s="32">
        <f t="shared" si="48"/>
        <v>0</v>
      </c>
      <c r="J135" s="32">
        <f t="shared" si="48"/>
        <v>0</v>
      </c>
      <c r="K135" s="32">
        <f t="shared" si="48"/>
        <v>0</v>
      </c>
      <c r="L135" s="32">
        <f t="shared" si="48"/>
        <v>0</v>
      </c>
      <c r="M135" s="32">
        <f t="shared" si="48"/>
        <v>0</v>
      </c>
      <c r="N135" s="32">
        <f t="shared" si="48"/>
        <v>0</v>
      </c>
      <c r="O135" s="32">
        <f t="shared" si="48"/>
        <v>0</v>
      </c>
      <c r="P135" s="32">
        <f t="shared" si="48"/>
        <v>0</v>
      </c>
      <c r="Q135" s="32">
        <f t="shared" si="48"/>
        <v>0</v>
      </c>
      <c r="R135" s="32">
        <f t="shared" si="48"/>
        <v>0</v>
      </c>
      <c r="S135" s="32">
        <f t="shared" si="48"/>
        <v>0</v>
      </c>
      <c r="T135" s="32">
        <f t="shared" si="48"/>
        <v>0</v>
      </c>
      <c r="U135" s="32">
        <f t="shared" si="48"/>
        <v>0</v>
      </c>
      <c r="V135" s="32">
        <f t="shared" si="48"/>
        <v>0</v>
      </c>
      <c r="W135" s="32">
        <f t="shared" si="48"/>
        <v>0</v>
      </c>
      <c r="X135" s="32">
        <f t="shared" si="48"/>
        <v>0</v>
      </c>
      <c r="Y135" s="32">
        <f t="shared" si="48"/>
        <v>0</v>
      </c>
      <c r="Z135" s="32">
        <f t="shared" si="48"/>
        <v>0</v>
      </c>
      <c r="AA135" s="32">
        <f t="shared" si="48"/>
        <v>0</v>
      </c>
      <c r="AB135" s="32">
        <f t="shared" si="48"/>
        <v>0</v>
      </c>
      <c r="AC135" s="32">
        <f t="shared" si="48"/>
        <v>0</v>
      </c>
      <c r="AD135" s="32">
        <f t="shared" si="48"/>
        <v>0</v>
      </c>
      <c r="AE135" s="32">
        <f t="shared" si="48"/>
        <v>0</v>
      </c>
      <c r="AF135" s="32">
        <f t="shared" si="48"/>
        <v>0</v>
      </c>
      <c r="AG135" s="32">
        <f t="shared" si="48"/>
        <v>0</v>
      </c>
      <c r="AH135" s="32">
        <f t="shared" si="48"/>
        <v>0</v>
      </c>
      <c r="AI135" s="32">
        <f t="shared" si="48"/>
        <v>0</v>
      </c>
      <c r="AJ135" s="66">
        <f t="shared" si="45"/>
        <v>0</v>
      </c>
    </row>
    <row r="136" spans="2:36" x14ac:dyDescent="0.25">
      <c r="C136" s="30" t="s">
        <v>200</v>
      </c>
      <c r="F136" s="32">
        <f t="shared" ref="F136:AI136" si="49">F130*(1/((1+$D$2)^F$4))</f>
        <v>0</v>
      </c>
      <c r="G136" s="32">
        <f t="shared" si="49"/>
        <v>0</v>
      </c>
      <c r="H136" s="32">
        <f t="shared" si="49"/>
        <v>0</v>
      </c>
      <c r="I136" s="32">
        <f t="shared" si="49"/>
        <v>0</v>
      </c>
      <c r="J136" s="32">
        <f t="shared" si="49"/>
        <v>0</v>
      </c>
      <c r="K136" s="32">
        <f t="shared" si="49"/>
        <v>0</v>
      </c>
      <c r="L136" s="32">
        <f t="shared" si="49"/>
        <v>0</v>
      </c>
      <c r="M136" s="32">
        <f t="shared" si="49"/>
        <v>0</v>
      </c>
      <c r="N136" s="32">
        <f t="shared" si="49"/>
        <v>0</v>
      </c>
      <c r="O136" s="32">
        <f t="shared" si="49"/>
        <v>0</v>
      </c>
      <c r="P136" s="32">
        <f t="shared" si="49"/>
        <v>0</v>
      </c>
      <c r="Q136" s="32">
        <f t="shared" si="49"/>
        <v>0</v>
      </c>
      <c r="R136" s="32">
        <f t="shared" si="49"/>
        <v>0</v>
      </c>
      <c r="S136" s="32">
        <f t="shared" si="49"/>
        <v>0</v>
      </c>
      <c r="T136" s="32">
        <f t="shared" si="49"/>
        <v>0</v>
      </c>
      <c r="U136" s="32">
        <f t="shared" si="49"/>
        <v>0</v>
      </c>
      <c r="V136" s="32">
        <f t="shared" si="49"/>
        <v>0</v>
      </c>
      <c r="W136" s="32">
        <f t="shared" si="49"/>
        <v>0</v>
      </c>
      <c r="X136" s="32">
        <f t="shared" si="49"/>
        <v>0</v>
      </c>
      <c r="Y136" s="32">
        <f t="shared" si="49"/>
        <v>0</v>
      </c>
      <c r="Z136" s="32">
        <f t="shared" si="49"/>
        <v>0</v>
      </c>
      <c r="AA136" s="32">
        <f t="shared" si="49"/>
        <v>0</v>
      </c>
      <c r="AB136" s="32">
        <f t="shared" si="49"/>
        <v>0</v>
      </c>
      <c r="AC136" s="32">
        <f t="shared" si="49"/>
        <v>0</v>
      </c>
      <c r="AD136" s="32">
        <f t="shared" si="49"/>
        <v>0</v>
      </c>
      <c r="AE136" s="32">
        <f t="shared" si="49"/>
        <v>0</v>
      </c>
      <c r="AF136" s="32">
        <f t="shared" si="49"/>
        <v>0</v>
      </c>
      <c r="AG136" s="32">
        <f t="shared" si="49"/>
        <v>0</v>
      </c>
      <c r="AH136" s="32">
        <f t="shared" si="49"/>
        <v>0</v>
      </c>
      <c r="AI136" s="32">
        <f t="shared" si="49"/>
        <v>0</v>
      </c>
      <c r="AJ136" s="66">
        <f t="shared" si="45"/>
        <v>0</v>
      </c>
    </row>
    <row r="138" spans="2:36" x14ac:dyDescent="0.25">
      <c r="B138" s="27" t="s">
        <v>451</v>
      </c>
      <c r="C138" s="67" t="s">
        <v>452</v>
      </c>
    </row>
    <row r="139" spans="2:36" x14ac:dyDescent="0.25">
      <c r="B139" s="68" t="s">
        <v>162</v>
      </c>
      <c r="C139" s="41" t="s">
        <v>461</v>
      </c>
      <c r="D139" s="41" t="s">
        <v>169</v>
      </c>
    </row>
    <row r="140" spans="2:36" x14ac:dyDescent="0.25">
      <c r="B140" s="27"/>
      <c r="C140" s="49" t="s">
        <v>163</v>
      </c>
      <c r="D140" s="41">
        <v>0.97</v>
      </c>
    </row>
    <row r="141" spans="2:36" x14ac:dyDescent="0.25">
      <c r="B141" s="27"/>
      <c r="C141" s="49" t="s">
        <v>164</v>
      </c>
      <c r="D141" s="41">
        <v>7.0000000000000007E-2</v>
      </c>
    </row>
    <row r="142" spans="2:36" x14ac:dyDescent="0.25">
      <c r="B142" s="27"/>
      <c r="C142" s="49" t="s">
        <v>165</v>
      </c>
      <c r="D142" s="41">
        <v>0.26</v>
      </c>
    </row>
    <row r="143" spans="2:36" x14ac:dyDescent="0.25">
      <c r="B143" s="27"/>
      <c r="C143" s="49" t="s">
        <v>166</v>
      </c>
      <c r="D143" s="41">
        <v>0.1</v>
      </c>
    </row>
    <row r="144" spans="2:36" x14ac:dyDescent="0.25">
      <c r="B144" s="27"/>
      <c r="C144" s="49" t="s">
        <v>167</v>
      </c>
      <c r="D144" s="41">
        <v>0.26</v>
      </c>
    </row>
    <row r="145" spans="2:7" x14ac:dyDescent="0.25">
      <c r="B145" s="27"/>
      <c r="C145" s="49" t="s">
        <v>168</v>
      </c>
      <c r="D145" s="41">
        <v>0.22</v>
      </c>
    </row>
    <row r="146" spans="2:7" x14ac:dyDescent="0.25">
      <c r="B146" s="27"/>
      <c r="C146" s="49" t="s">
        <v>158</v>
      </c>
      <c r="D146" s="41">
        <f>SUM(D140:D145)</f>
        <v>1.8800000000000001</v>
      </c>
    </row>
    <row r="147" spans="2:7" x14ac:dyDescent="0.25">
      <c r="B147" s="27"/>
      <c r="C147" s="49" t="s">
        <v>462</v>
      </c>
      <c r="D147" s="41" t="s">
        <v>170</v>
      </c>
    </row>
    <row r="148" spans="2:7" x14ac:dyDescent="0.25">
      <c r="B148" s="27"/>
      <c r="C148" s="49" t="s">
        <v>163</v>
      </c>
      <c r="D148" s="41">
        <v>2.4500000000000002</v>
      </c>
    </row>
    <row r="149" spans="2:7" x14ac:dyDescent="0.25">
      <c r="B149" s="27"/>
      <c r="C149" s="49" t="s">
        <v>164</v>
      </c>
      <c r="D149" s="41">
        <v>0.3</v>
      </c>
    </row>
    <row r="150" spans="2:7" x14ac:dyDescent="0.25">
      <c r="B150" s="27"/>
      <c r="C150" s="49" t="s">
        <v>165</v>
      </c>
      <c r="D150" s="41">
        <v>0.78</v>
      </c>
    </row>
    <row r="151" spans="2:7" x14ac:dyDescent="0.25">
      <c r="B151" s="27"/>
      <c r="C151" s="49" t="s">
        <v>166</v>
      </c>
      <c r="D151" s="41">
        <v>0.37</v>
      </c>
    </row>
    <row r="152" spans="2:7" x14ac:dyDescent="0.25">
      <c r="B152" s="27"/>
      <c r="C152" s="49" t="s">
        <v>167</v>
      </c>
      <c r="D152" s="41">
        <v>0.33</v>
      </c>
    </row>
    <row r="153" spans="2:7" x14ac:dyDescent="0.25">
      <c r="B153" s="27"/>
      <c r="C153" s="49" t="s">
        <v>168</v>
      </c>
      <c r="D153" s="41">
        <v>0.56000000000000005</v>
      </c>
    </row>
    <row r="154" spans="2:7" x14ac:dyDescent="0.25">
      <c r="B154" s="27"/>
      <c r="C154" s="49" t="s">
        <v>158</v>
      </c>
      <c r="D154" s="41">
        <f>SUM(D148:D153)</f>
        <v>4.7900000000000009</v>
      </c>
    </row>
    <row r="155" spans="2:7" x14ac:dyDescent="0.25">
      <c r="B155" s="27"/>
      <c r="C155" s="49"/>
    </row>
    <row r="156" spans="2:7" x14ac:dyDescent="0.25">
      <c r="B156" s="27"/>
      <c r="C156" s="41" t="s">
        <v>457</v>
      </c>
      <c r="D156" s="46">
        <f>(D26*D146)+(D27*D154)</f>
        <v>4.0625000000000009</v>
      </c>
      <c r="G156" s="20"/>
    </row>
    <row r="157" spans="2:7" x14ac:dyDescent="0.25">
      <c r="B157" s="27"/>
      <c r="C157" s="41" t="s">
        <v>458</v>
      </c>
      <c r="D157" s="46">
        <f>D156*114.8/82.6</f>
        <v>5.646186440677968</v>
      </c>
      <c r="G157" s="20"/>
    </row>
    <row r="158" spans="2:7" x14ac:dyDescent="0.25">
      <c r="B158" s="27"/>
      <c r="D158" s="46"/>
      <c r="G158" s="20"/>
    </row>
    <row r="159" spans="2:7" x14ac:dyDescent="0.25">
      <c r="B159" s="68" t="s">
        <v>463</v>
      </c>
      <c r="C159" s="44" t="s">
        <v>141</v>
      </c>
      <c r="D159" s="48">
        <f>'Input sheet'!E39</f>
        <v>0</v>
      </c>
    </row>
    <row r="160" spans="2:7" x14ac:dyDescent="0.25">
      <c r="C160" s="44" t="s">
        <v>296</v>
      </c>
      <c r="D160" s="48">
        <f>'Input sheet'!E40</f>
        <v>0</v>
      </c>
    </row>
    <row r="161" spans="3:35" x14ac:dyDescent="0.25">
      <c r="C161" s="49" t="s">
        <v>131</v>
      </c>
      <c r="D161" s="41">
        <f>'Input sheet'!E41</f>
        <v>0</v>
      </c>
    </row>
    <row r="162" spans="3:35" x14ac:dyDescent="0.25">
      <c r="C162" s="49" t="s">
        <v>133</v>
      </c>
      <c r="D162" s="41">
        <f>'Input sheet'!E42</f>
        <v>0</v>
      </c>
    </row>
    <row r="163" spans="3:35" ht="30" x14ac:dyDescent="0.25">
      <c r="C163" s="49" t="s">
        <v>132</v>
      </c>
      <c r="F163" s="31">
        <f t="shared" ref="F163:AI163" si="50">(F25*$D$161*$D$162*$D$159)</f>
        <v>0</v>
      </c>
      <c r="G163" s="31">
        <f t="shared" si="50"/>
        <v>0</v>
      </c>
      <c r="H163" s="31">
        <f t="shared" si="50"/>
        <v>0</v>
      </c>
      <c r="I163" s="31">
        <f t="shared" si="50"/>
        <v>0</v>
      </c>
      <c r="J163" s="31">
        <f t="shared" si="50"/>
        <v>0</v>
      </c>
      <c r="K163" s="31">
        <f t="shared" si="50"/>
        <v>0</v>
      </c>
      <c r="L163" s="31">
        <f t="shared" si="50"/>
        <v>0</v>
      </c>
      <c r="M163" s="31">
        <f t="shared" si="50"/>
        <v>0</v>
      </c>
      <c r="N163" s="31">
        <f t="shared" si="50"/>
        <v>0</v>
      </c>
      <c r="O163" s="31">
        <f t="shared" si="50"/>
        <v>0</v>
      </c>
      <c r="P163" s="31">
        <f t="shared" si="50"/>
        <v>0</v>
      </c>
      <c r="Q163" s="31">
        <f t="shared" si="50"/>
        <v>0</v>
      </c>
      <c r="R163" s="31">
        <f t="shared" si="50"/>
        <v>0</v>
      </c>
      <c r="S163" s="31">
        <f t="shared" si="50"/>
        <v>0</v>
      </c>
      <c r="T163" s="31">
        <f t="shared" si="50"/>
        <v>0</v>
      </c>
      <c r="U163" s="31">
        <f t="shared" si="50"/>
        <v>0</v>
      </c>
      <c r="V163" s="31">
        <f t="shared" si="50"/>
        <v>0</v>
      </c>
      <c r="W163" s="31">
        <f t="shared" si="50"/>
        <v>0</v>
      </c>
      <c r="X163" s="31">
        <f t="shared" si="50"/>
        <v>0</v>
      </c>
      <c r="Y163" s="31">
        <f t="shared" si="50"/>
        <v>0</v>
      </c>
      <c r="Z163" s="31">
        <f t="shared" si="50"/>
        <v>0</v>
      </c>
      <c r="AA163" s="31">
        <f t="shared" si="50"/>
        <v>0</v>
      </c>
      <c r="AB163" s="31">
        <f t="shared" si="50"/>
        <v>0</v>
      </c>
      <c r="AC163" s="31">
        <f t="shared" si="50"/>
        <v>0</v>
      </c>
      <c r="AD163" s="31">
        <f t="shared" si="50"/>
        <v>0</v>
      </c>
      <c r="AE163" s="31">
        <f t="shared" si="50"/>
        <v>0</v>
      </c>
      <c r="AF163" s="31">
        <f t="shared" si="50"/>
        <v>0</v>
      </c>
      <c r="AG163" s="31">
        <f t="shared" si="50"/>
        <v>0</v>
      </c>
      <c r="AH163" s="31">
        <f t="shared" si="50"/>
        <v>0</v>
      </c>
      <c r="AI163" s="31">
        <f t="shared" si="50"/>
        <v>0</v>
      </c>
    </row>
    <row r="164" spans="3:35" x14ac:dyDescent="0.25">
      <c r="C164" s="49" t="s">
        <v>448</v>
      </c>
      <c r="D164" s="41">
        <f>'Input sheet'!E43</f>
        <v>0</v>
      </c>
      <c r="F164" s="31">
        <f>$D$164</f>
        <v>0</v>
      </c>
      <c r="G164" s="31">
        <f t="shared" ref="G164:AI164" si="51">$D$164</f>
        <v>0</v>
      </c>
      <c r="H164" s="31">
        <f t="shared" si="51"/>
        <v>0</v>
      </c>
      <c r="I164" s="31">
        <f t="shared" si="51"/>
        <v>0</v>
      </c>
      <c r="J164" s="31">
        <f t="shared" si="51"/>
        <v>0</v>
      </c>
      <c r="K164" s="31">
        <f t="shared" si="51"/>
        <v>0</v>
      </c>
      <c r="L164" s="31">
        <f t="shared" si="51"/>
        <v>0</v>
      </c>
      <c r="M164" s="31">
        <f t="shared" si="51"/>
        <v>0</v>
      </c>
      <c r="N164" s="31">
        <f t="shared" si="51"/>
        <v>0</v>
      </c>
      <c r="O164" s="31">
        <f t="shared" si="51"/>
        <v>0</v>
      </c>
      <c r="P164" s="31">
        <f t="shared" si="51"/>
        <v>0</v>
      </c>
      <c r="Q164" s="31">
        <f t="shared" si="51"/>
        <v>0</v>
      </c>
      <c r="R164" s="31">
        <f t="shared" si="51"/>
        <v>0</v>
      </c>
      <c r="S164" s="31">
        <f t="shared" si="51"/>
        <v>0</v>
      </c>
      <c r="T164" s="31">
        <f t="shared" si="51"/>
        <v>0</v>
      </c>
      <c r="U164" s="31">
        <f t="shared" si="51"/>
        <v>0</v>
      </c>
      <c r="V164" s="31">
        <f t="shared" si="51"/>
        <v>0</v>
      </c>
      <c r="W164" s="31">
        <f t="shared" si="51"/>
        <v>0</v>
      </c>
      <c r="X164" s="31">
        <f t="shared" si="51"/>
        <v>0</v>
      </c>
      <c r="Y164" s="31">
        <f t="shared" si="51"/>
        <v>0</v>
      </c>
      <c r="Z164" s="31">
        <f t="shared" si="51"/>
        <v>0</v>
      </c>
      <c r="AA164" s="31">
        <f t="shared" si="51"/>
        <v>0</v>
      </c>
      <c r="AB164" s="31">
        <f t="shared" si="51"/>
        <v>0</v>
      </c>
      <c r="AC164" s="31">
        <f t="shared" si="51"/>
        <v>0</v>
      </c>
      <c r="AD164" s="31">
        <f t="shared" si="51"/>
        <v>0</v>
      </c>
      <c r="AE164" s="31">
        <f t="shared" si="51"/>
        <v>0</v>
      </c>
      <c r="AF164" s="31">
        <f t="shared" si="51"/>
        <v>0</v>
      </c>
      <c r="AG164" s="31">
        <f t="shared" si="51"/>
        <v>0</v>
      </c>
      <c r="AH164" s="31">
        <f t="shared" si="51"/>
        <v>0</v>
      </c>
      <c r="AI164" s="31">
        <f t="shared" si="51"/>
        <v>0</v>
      </c>
    </row>
    <row r="165" spans="3:35" x14ac:dyDescent="0.25">
      <c r="C165" s="41" t="s">
        <v>454</v>
      </c>
      <c r="F165" s="31" t="e">
        <f t="shared" ref="F165:AI165" si="52">(F163/F164)+(F25*D160*D162)</f>
        <v>#DIV/0!</v>
      </c>
      <c r="G165" s="31" t="e">
        <f t="shared" si="52"/>
        <v>#DIV/0!</v>
      </c>
      <c r="H165" s="31" t="e">
        <f t="shared" si="52"/>
        <v>#DIV/0!</v>
      </c>
      <c r="I165" s="31" t="e">
        <f t="shared" si="52"/>
        <v>#DIV/0!</v>
      </c>
      <c r="J165" s="31" t="e">
        <f t="shared" si="52"/>
        <v>#DIV/0!</v>
      </c>
      <c r="K165" s="31" t="e">
        <f t="shared" si="52"/>
        <v>#DIV/0!</v>
      </c>
      <c r="L165" s="31" t="e">
        <f t="shared" si="52"/>
        <v>#DIV/0!</v>
      </c>
      <c r="M165" s="31" t="e">
        <f t="shared" si="52"/>
        <v>#DIV/0!</v>
      </c>
      <c r="N165" s="31" t="e">
        <f t="shared" si="52"/>
        <v>#DIV/0!</v>
      </c>
      <c r="O165" s="31" t="e">
        <f t="shared" si="52"/>
        <v>#DIV/0!</v>
      </c>
      <c r="P165" s="31" t="e">
        <f t="shared" si="52"/>
        <v>#DIV/0!</v>
      </c>
      <c r="Q165" s="31" t="e">
        <f t="shared" si="52"/>
        <v>#DIV/0!</v>
      </c>
      <c r="R165" s="31" t="e">
        <f t="shared" si="52"/>
        <v>#DIV/0!</v>
      </c>
      <c r="S165" s="31" t="e">
        <f t="shared" si="52"/>
        <v>#DIV/0!</v>
      </c>
      <c r="T165" s="31" t="e">
        <f t="shared" si="52"/>
        <v>#DIV/0!</v>
      </c>
      <c r="U165" s="31" t="e">
        <f t="shared" si="52"/>
        <v>#DIV/0!</v>
      </c>
      <c r="V165" s="31" t="e">
        <f t="shared" si="52"/>
        <v>#DIV/0!</v>
      </c>
      <c r="W165" s="31" t="e">
        <f t="shared" si="52"/>
        <v>#DIV/0!</v>
      </c>
      <c r="X165" s="31" t="e">
        <f t="shared" si="52"/>
        <v>#DIV/0!</v>
      </c>
      <c r="Y165" s="31" t="e">
        <f t="shared" si="52"/>
        <v>#DIV/0!</v>
      </c>
      <c r="Z165" s="31" t="e">
        <f t="shared" si="52"/>
        <v>#DIV/0!</v>
      </c>
      <c r="AA165" s="31" t="e">
        <f t="shared" si="52"/>
        <v>#DIV/0!</v>
      </c>
      <c r="AB165" s="31" t="e">
        <f t="shared" si="52"/>
        <v>#DIV/0!</v>
      </c>
      <c r="AC165" s="31" t="e">
        <f t="shared" si="52"/>
        <v>#DIV/0!</v>
      </c>
      <c r="AD165" s="31" t="e">
        <f t="shared" si="52"/>
        <v>#DIV/0!</v>
      </c>
      <c r="AE165" s="31" t="e">
        <f t="shared" si="52"/>
        <v>#DIV/0!</v>
      </c>
      <c r="AF165" s="31" t="e">
        <f t="shared" si="52"/>
        <v>#DIV/0!</v>
      </c>
      <c r="AG165" s="31" t="e">
        <f t="shared" si="52"/>
        <v>#DIV/0!</v>
      </c>
      <c r="AH165" s="31" t="e">
        <f t="shared" si="52"/>
        <v>#DIV/0!</v>
      </c>
      <c r="AI165" s="31" t="e">
        <f t="shared" si="52"/>
        <v>#DIV/0!</v>
      </c>
    </row>
    <row r="166" spans="3:35" x14ac:dyDescent="0.25">
      <c r="C166" s="193" t="s">
        <v>455</v>
      </c>
      <c r="F166" s="31" t="e">
        <f t="shared" ref="F166:AI166" si="53">F165*$D$26*$D$48</f>
        <v>#DIV/0!</v>
      </c>
      <c r="G166" s="31" t="e">
        <f t="shared" si="53"/>
        <v>#DIV/0!</v>
      </c>
      <c r="H166" s="31" t="e">
        <f t="shared" si="53"/>
        <v>#DIV/0!</v>
      </c>
      <c r="I166" s="31" t="e">
        <f t="shared" si="53"/>
        <v>#DIV/0!</v>
      </c>
      <c r="J166" s="31" t="e">
        <f t="shared" si="53"/>
        <v>#DIV/0!</v>
      </c>
      <c r="K166" s="31" t="e">
        <f t="shared" si="53"/>
        <v>#DIV/0!</v>
      </c>
      <c r="L166" s="31" t="e">
        <f t="shared" si="53"/>
        <v>#DIV/0!</v>
      </c>
      <c r="M166" s="31" t="e">
        <f t="shared" si="53"/>
        <v>#DIV/0!</v>
      </c>
      <c r="N166" s="31" t="e">
        <f t="shared" si="53"/>
        <v>#DIV/0!</v>
      </c>
      <c r="O166" s="31" t="e">
        <f t="shared" si="53"/>
        <v>#DIV/0!</v>
      </c>
      <c r="P166" s="31" t="e">
        <f t="shared" si="53"/>
        <v>#DIV/0!</v>
      </c>
      <c r="Q166" s="31" t="e">
        <f t="shared" si="53"/>
        <v>#DIV/0!</v>
      </c>
      <c r="R166" s="31" t="e">
        <f t="shared" si="53"/>
        <v>#DIV/0!</v>
      </c>
      <c r="S166" s="31" t="e">
        <f t="shared" si="53"/>
        <v>#DIV/0!</v>
      </c>
      <c r="T166" s="31" t="e">
        <f t="shared" si="53"/>
        <v>#DIV/0!</v>
      </c>
      <c r="U166" s="31" t="e">
        <f t="shared" si="53"/>
        <v>#DIV/0!</v>
      </c>
      <c r="V166" s="31" t="e">
        <f t="shared" si="53"/>
        <v>#DIV/0!</v>
      </c>
      <c r="W166" s="31" t="e">
        <f t="shared" si="53"/>
        <v>#DIV/0!</v>
      </c>
      <c r="X166" s="31" t="e">
        <f t="shared" si="53"/>
        <v>#DIV/0!</v>
      </c>
      <c r="Y166" s="31" t="e">
        <f t="shared" si="53"/>
        <v>#DIV/0!</v>
      </c>
      <c r="Z166" s="31" t="e">
        <f t="shared" si="53"/>
        <v>#DIV/0!</v>
      </c>
      <c r="AA166" s="31" t="e">
        <f t="shared" si="53"/>
        <v>#DIV/0!</v>
      </c>
      <c r="AB166" s="31" t="e">
        <f t="shared" si="53"/>
        <v>#DIV/0!</v>
      </c>
      <c r="AC166" s="31" t="e">
        <f t="shared" si="53"/>
        <v>#DIV/0!</v>
      </c>
      <c r="AD166" s="31" t="e">
        <f t="shared" si="53"/>
        <v>#DIV/0!</v>
      </c>
      <c r="AE166" s="31" t="e">
        <f t="shared" si="53"/>
        <v>#DIV/0!</v>
      </c>
      <c r="AF166" s="31" t="e">
        <f t="shared" si="53"/>
        <v>#DIV/0!</v>
      </c>
      <c r="AG166" s="31" t="e">
        <f t="shared" si="53"/>
        <v>#DIV/0!</v>
      </c>
      <c r="AH166" s="31" t="e">
        <f t="shared" si="53"/>
        <v>#DIV/0!</v>
      </c>
      <c r="AI166" s="31" t="e">
        <f t="shared" si="53"/>
        <v>#DIV/0!</v>
      </c>
    </row>
    <row r="167" spans="3:35" x14ac:dyDescent="0.25">
      <c r="C167" s="193" t="s">
        <v>456</v>
      </c>
      <c r="F167" s="31" t="e">
        <f t="shared" ref="F167:AI167" si="54">F165*$D$27*$D$42</f>
        <v>#DIV/0!</v>
      </c>
      <c r="G167" s="31" t="e">
        <f t="shared" si="54"/>
        <v>#DIV/0!</v>
      </c>
      <c r="H167" s="31" t="e">
        <f t="shared" si="54"/>
        <v>#DIV/0!</v>
      </c>
      <c r="I167" s="31" t="e">
        <f t="shared" si="54"/>
        <v>#DIV/0!</v>
      </c>
      <c r="J167" s="31" t="e">
        <f t="shared" si="54"/>
        <v>#DIV/0!</v>
      </c>
      <c r="K167" s="31" t="e">
        <f t="shared" si="54"/>
        <v>#DIV/0!</v>
      </c>
      <c r="L167" s="31" t="e">
        <f t="shared" si="54"/>
        <v>#DIV/0!</v>
      </c>
      <c r="M167" s="31" t="e">
        <f t="shared" si="54"/>
        <v>#DIV/0!</v>
      </c>
      <c r="N167" s="31" t="e">
        <f t="shared" si="54"/>
        <v>#DIV/0!</v>
      </c>
      <c r="O167" s="31" t="e">
        <f t="shared" si="54"/>
        <v>#DIV/0!</v>
      </c>
      <c r="P167" s="31" t="e">
        <f t="shared" si="54"/>
        <v>#DIV/0!</v>
      </c>
      <c r="Q167" s="31" t="e">
        <f t="shared" si="54"/>
        <v>#DIV/0!</v>
      </c>
      <c r="R167" s="31" t="e">
        <f t="shared" si="54"/>
        <v>#DIV/0!</v>
      </c>
      <c r="S167" s="31" t="e">
        <f t="shared" si="54"/>
        <v>#DIV/0!</v>
      </c>
      <c r="T167" s="31" t="e">
        <f t="shared" si="54"/>
        <v>#DIV/0!</v>
      </c>
      <c r="U167" s="31" t="e">
        <f t="shared" si="54"/>
        <v>#DIV/0!</v>
      </c>
      <c r="V167" s="31" t="e">
        <f t="shared" si="54"/>
        <v>#DIV/0!</v>
      </c>
      <c r="W167" s="31" t="e">
        <f t="shared" si="54"/>
        <v>#DIV/0!</v>
      </c>
      <c r="X167" s="31" t="e">
        <f t="shared" si="54"/>
        <v>#DIV/0!</v>
      </c>
      <c r="Y167" s="31" t="e">
        <f t="shared" si="54"/>
        <v>#DIV/0!</v>
      </c>
      <c r="Z167" s="31" t="e">
        <f t="shared" si="54"/>
        <v>#DIV/0!</v>
      </c>
      <c r="AA167" s="31" t="e">
        <f t="shared" si="54"/>
        <v>#DIV/0!</v>
      </c>
      <c r="AB167" s="31" t="e">
        <f t="shared" si="54"/>
        <v>#DIV/0!</v>
      </c>
      <c r="AC167" s="31" t="e">
        <f t="shared" si="54"/>
        <v>#DIV/0!</v>
      </c>
      <c r="AD167" s="31" t="e">
        <f t="shared" si="54"/>
        <v>#DIV/0!</v>
      </c>
      <c r="AE167" s="31" t="e">
        <f t="shared" si="54"/>
        <v>#DIV/0!</v>
      </c>
      <c r="AF167" s="31" t="e">
        <f t="shared" si="54"/>
        <v>#DIV/0!</v>
      </c>
      <c r="AG167" s="31" t="e">
        <f t="shared" si="54"/>
        <v>#DIV/0!</v>
      </c>
      <c r="AH167" s="31" t="e">
        <f t="shared" si="54"/>
        <v>#DIV/0!</v>
      </c>
      <c r="AI167" s="31" t="e">
        <f t="shared" si="54"/>
        <v>#DIV/0!</v>
      </c>
    </row>
    <row r="168" spans="3:35" x14ac:dyDescent="0.25">
      <c r="C168" s="41" t="s">
        <v>449</v>
      </c>
      <c r="D168" s="46"/>
      <c r="F168" s="31">
        <f t="shared" ref="F168:AI168" si="55">F163*$D$26*$D$90/100</f>
        <v>0</v>
      </c>
      <c r="G168" s="31">
        <f t="shared" si="55"/>
        <v>0</v>
      </c>
      <c r="H168" s="31">
        <f t="shared" si="55"/>
        <v>0</v>
      </c>
      <c r="I168" s="31">
        <f t="shared" si="55"/>
        <v>0</v>
      </c>
      <c r="J168" s="31">
        <f t="shared" si="55"/>
        <v>0</v>
      </c>
      <c r="K168" s="31">
        <f t="shared" si="55"/>
        <v>0</v>
      </c>
      <c r="L168" s="31">
        <f t="shared" si="55"/>
        <v>0</v>
      </c>
      <c r="M168" s="31">
        <f t="shared" si="55"/>
        <v>0</v>
      </c>
      <c r="N168" s="31">
        <f t="shared" si="55"/>
        <v>0</v>
      </c>
      <c r="O168" s="31">
        <f t="shared" si="55"/>
        <v>0</v>
      </c>
      <c r="P168" s="31">
        <f t="shared" si="55"/>
        <v>0</v>
      </c>
      <c r="Q168" s="31">
        <f t="shared" si="55"/>
        <v>0</v>
      </c>
      <c r="R168" s="31">
        <f t="shared" si="55"/>
        <v>0</v>
      </c>
      <c r="S168" s="31">
        <f t="shared" si="55"/>
        <v>0</v>
      </c>
      <c r="T168" s="31">
        <f t="shared" si="55"/>
        <v>0</v>
      </c>
      <c r="U168" s="31">
        <f t="shared" si="55"/>
        <v>0</v>
      </c>
      <c r="V168" s="31">
        <f t="shared" si="55"/>
        <v>0</v>
      </c>
      <c r="W168" s="31">
        <f t="shared" si="55"/>
        <v>0</v>
      </c>
      <c r="X168" s="31">
        <f t="shared" si="55"/>
        <v>0</v>
      </c>
      <c r="Y168" s="31">
        <f t="shared" si="55"/>
        <v>0</v>
      </c>
      <c r="Z168" s="31">
        <f t="shared" si="55"/>
        <v>0</v>
      </c>
      <c r="AA168" s="31">
        <f t="shared" si="55"/>
        <v>0</v>
      </c>
      <c r="AB168" s="31">
        <f t="shared" si="55"/>
        <v>0</v>
      </c>
      <c r="AC168" s="31">
        <f t="shared" si="55"/>
        <v>0</v>
      </c>
      <c r="AD168" s="31">
        <f t="shared" si="55"/>
        <v>0</v>
      </c>
      <c r="AE168" s="31">
        <f t="shared" si="55"/>
        <v>0</v>
      </c>
      <c r="AF168" s="31">
        <f t="shared" si="55"/>
        <v>0</v>
      </c>
      <c r="AG168" s="31">
        <f t="shared" si="55"/>
        <v>0</v>
      </c>
      <c r="AH168" s="31">
        <f t="shared" si="55"/>
        <v>0</v>
      </c>
      <c r="AI168" s="31">
        <f t="shared" si="55"/>
        <v>0</v>
      </c>
    </row>
    <row r="169" spans="3:35" x14ac:dyDescent="0.25">
      <c r="C169" s="41" t="s">
        <v>450</v>
      </c>
      <c r="D169" s="46"/>
      <c r="F169" s="31">
        <f t="shared" ref="F169:AI169" si="56">F163*$D$27*$D$102/100</f>
        <v>0</v>
      </c>
      <c r="G169" s="31">
        <f t="shared" si="56"/>
        <v>0</v>
      </c>
      <c r="H169" s="31">
        <f t="shared" si="56"/>
        <v>0</v>
      </c>
      <c r="I169" s="31">
        <f t="shared" si="56"/>
        <v>0</v>
      </c>
      <c r="J169" s="31">
        <f t="shared" si="56"/>
        <v>0</v>
      </c>
      <c r="K169" s="31">
        <f t="shared" si="56"/>
        <v>0</v>
      </c>
      <c r="L169" s="31">
        <f t="shared" si="56"/>
        <v>0</v>
      </c>
      <c r="M169" s="31">
        <f t="shared" si="56"/>
        <v>0</v>
      </c>
      <c r="N169" s="31">
        <f t="shared" si="56"/>
        <v>0</v>
      </c>
      <c r="O169" s="31">
        <f t="shared" si="56"/>
        <v>0</v>
      </c>
      <c r="P169" s="31">
        <f t="shared" si="56"/>
        <v>0</v>
      </c>
      <c r="Q169" s="31">
        <f t="shared" si="56"/>
        <v>0</v>
      </c>
      <c r="R169" s="31">
        <f t="shared" si="56"/>
        <v>0</v>
      </c>
      <c r="S169" s="31">
        <f t="shared" si="56"/>
        <v>0</v>
      </c>
      <c r="T169" s="31">
        <f t="shared" si="56"/>
        <v>0</v>
      </c>
      <c r="U169" s="31">
        <f t="shared" si="56"/>
        <v>0</v>
      </c>
      <c r="V169" s="31">
        <f t="shared" si="56"/>
        <v>0</v>
      </c>
      <c r="W169" s="31">
        <f t="shared" si="56"/>
        <v>0</v>
      </c>
      <c r="X169" s="31">
        <f t="shared" si="56"/>
        <v>0</v>
      </c>
      <c r="Y169" s="31">
        <f t="shared" si="56"/>
        <v>0</v>
      </c>
      <c r="Z169" s="31">
        <f t="shared" si="56"/>
        <v>0</v>
      </c>
      <c r="AA169" s="31">
        <f t="shared" si="56"/>
        <v>0</v>
      </c>
      <c r="AB169" s="31">
        <f t="shared" si="56"/>
        <v>0</v>
      </c>
      <c r="AC169" s="31">
        <f t="shared" si="56"/>
        <v>0</v>
      </c>
      <c r="AD169" s="31">
        <f t="shared" si="56"/>
        <v>0</v>
      </c>
      <c r="AE169" s="31">
        <f t="shared" si="56"/>
        <v>0</v>
      </c>
      <c r="AF169" s="31">
        <f t="shared" si="56"/>
        <v>0</v>
      </c>
      <c r="AG169" s="31">
        <f t="shared" si="56"/>
        <v>0</v>
      </c>
      <c r="AH169" s="31">
        <f t="shared" si="56"/>
        <v>0</v>
      </c>
      <c r="AI169" s="31">
        <f t="shared" si="56"/>
        <v>0</v>
      </c>
    </row>
    <row r="170" spans="3:35" x14ac:dyDescent="0.25">
      <c r="C170" s="41" t="s">
        <v>134</v>
      </c>
      <c r="F170" s="31">
        <f t="shared" ref="F170:AI170" si="57">(F163*$D$26*$D$146/100)+(F163*$D$27*$D$154/100)</f>
        <v>0</v>
      </c>
      <c r="G170" s="31">
        <f t="shared" si="57"/>
        <v>0</v>
      </c>
      <c r="H170" s="31">
        <f t="shared" si="57"/>
        <v>0</v>
      </c>
      <c r="I170" s="31">
        <f t="shared" si="57"/>
        <v>0</v>
      </c>
      <c r="J170" s="31">
        <f t="shared" si="57"/>
        <v>0</v>
      </c>
      <c r="K170" s="31">
        <f t="shared" si="57"/>
        <v>0</v>
      </c>
      <c r="L170" s="31">
        <f t="shared" si="57"/>
        <v>0</v>
      </c>
      <c r="M170" s="31">
        <f t="shared" si="57"/>
        <v>0</v>
      </c>
      <c r="N170" s="31">
        <f t="shared" si="57"/>
        <v>0</v>
      </c>
      <c r="O170" s="31">
        <f t="shared" si="57"/>
        <v>0</v>
      </c>
      <c r="P170" s="31">
        <f t="shared" si="57"/>
        <v>0</v>
      </c>
      <c r="Q170" s="31">
        <f t="shared" si="57"/>
        <v>0</v>
      </c>
      <c r="R170" s="31">
        <f t="shared" si="57"/>
        <v>0</v>
      </c>
      <c r="S170" s="31">
        <f t="shared" si="57"/>
        <v>0</v>
      </c>
      <c r="T170" s="31">
        <f t="shared" si="57"/>
        <v>0</v>
      </c>
      <c r="U170" s="31">
        <f t="shared" si="57"/>
        <v>0</v>
      </c>
      <c r="V170" s="31">
        <f t="shared" si="57"/>
        <v>0</v>
      </c>
      <c r="W170" s="31">
        <f t="shared" si="57"/>
        <v>0</v>
      </c>
      <c r="X170" s="31">
        <f t="shared" si="57"/>
        <v>0</v>
      </c>
      <c r="Y170" s="31">
        <f t="shared" si="57"/>
        <v>0</v>
      </c>
      <c r="Z170" s="31">
        <f t="shared" si="57"/>
        <v>0</v>
      </c>
      <c r="AA170" s="31">
        <f t="shared" si="57"/>
        <v>0</v>
      </c>
      <c r="AB170" s="31">
        <f t="shared" si="57"/>
        <v>0</v>
      </c>
      <c r="AC170" s="31">
        <f t="shared" si="57"/>
        <v>0</v>
      </c>
      <c r="AD170" s="31">
        <f t="shared" si="57"/>
        <v>0</v>
      </c>
      <c r="AE170" s="31">
        <f t="shared" si="57"/>
        <v>0</v>
      </c>
      <c r="AF170" s="31">
        <f t="shared" si="57"/>
        <v>0</v>
      </c>
      <c r="AG170" s="31">
        <f t="shared" si="57"/>
        <v>0</v>
      </c>
      <c r="AH170" s="31">
        <f t="shared" si="57"/>
        <v>0</v>
      </c>
      <c r="AI170" s="31">
        <f t="shared" si="57"/>
        <v>0</v>
      </c>
    </row>
    <row r="171" spans="3:35" x14ac:dyDescent="0.25">
      <c r="C171" s="41" t="s">
        <v>453</v>
      </c>
      <c r="F171" s="31" t="e">
        <f>SUM(F166:F170)</f>
        <v>#DIV/0!</v>
      </c>
      <c r="G171" s="31" t="e">
        <f t="shared" ref="G171:AI171" si="58">SUM(G166:G170)</f>
        <v>#DIV/0!</v>
      </c>
      <c r="H171" s="31" t="e">
        <f t="shared" si="58"/>
        <v>#DIV/0!</v>
      </c>
      <c r="I171" s="31" t="e">
        <f t="shared" si="58"/>
        <v>#DIV/0!</v>
      </c>
      <c r="J171" s="31" t="e">
        <f t="shared" si="58"/>
        <v>#DIV/0!</v>
      </c>
      <c r="K171" s="31" t="e">
        <f t="shared" si="58"/>
        <v>#DIV/0!</v>
      </c>
      <c r="L171" s="31" t="e">
        <f t="shared" si="58"/>
        <v>#DIV/0!</v>
      </c>
      <c r="M171" s="31" t="e">
        <f t="shared" si="58"/>
        <v>#DIV/0!</v>
      </c>
      <c r="N171" s="31" t="e">
        <f t="shared" si="58"/>
        <v>#DIV/0!</v>
      </c>
      <c r="O171" s="31" t="e">
        <f t="shared" si="58"/>
        <v>#DIV/0!</v>
      </c>
      <c r="P171" s="31" t="e">
        <f t="shared" si="58"/>
        <v>#DIV/0!</v>
      </c>
      <c r="Q171" s="31" t="e">
        <f t="shared" si="58"/>
        <v>#DIV/0!</v>
      </c>
      <c r="R171" s="31" t="e">
        <f t="shared" si="58"/>
        <v>#DIV/0!</v>
      </c>
      <c r="S171" s="31" t="e">
        <f t="shared" si="58"/>
        <v>#DIV/0!</v>
      </c>
      <c r="T171" s="31" t="e">
        <f t="shared" si="58"/>
        <v>#DIV/0!</v>
      </c>
      <c r="U171" s="31" t="e">
        <f t="shared" si="58"/>
        <v>#DIV/0!</v>
      </c>
      <c r="V171" s="31" t="e">
        <f t="shared" si="58"/>
        <v>#DIV/0!</v>
      </c>
      <c r="W171" s="31" t="e">
        <f t="shared" si="58"/>
        <v>#DIV/0!</v>
      </c>
      <c r="X171" s="31" t="e">
        <f t="shared" si="58"/>
        <v>#DIV/0!</v>
      </c>
      <c r="Y171" s="31" t="e">
        <f t="shared" si="58"/>
        <v>#DIV/0!</v>
      </c>
      <c r="Z171" s="31" t="e">
        <f t="shared" si="58"/>
        <v>#DIV/0!</v>
      </c>
      <c r="AA171" s="31" t="e">
        <f t="shared" si="58"/>
        <v>#DIV/0!</v>
      </c>
      <c r="AB171" s="31" t="e">
        <f t="shared" si="58"/>
        <v>#DIV/0!</v>
      </c>
      <c r="AC171" s="31" t="e">
        <f t="shared" si="58"/>
        <v>#DIV/0!</v>
      </c>
      <c r="AD171" s="31" t="e">
        <f t="shared" si="58"/>
        <v>#DIV/0!</v>
      </c>
      <c r="AE171" s="31" t="e">
        <f t="shared" si="58"/>
        <v>#DIV/0!</v>
      </c>
      <c r="AF171" s="31" t="e">
        <f t="shared" si="58"/>
        <v>#DIV/0!</v>
      </c>
      <c r="AG171" s="31" t="e">
        <f t="shared" si="58"/>
        <v>#DIV/0!</v>
      </c>
      <c r="AH171" s="31" t="e">
        <f t="shared" si="58"/>
        <v>#DIV/0!</v>
      </c>
      <c r="AI171" s="31" t="e">
        <f t="shared" si="58"/>
        <v>#DIV/0!</v>
      </c>
    </row>
    <row r="173" spans="3:35" x14ac:dyDescent="0.25">
      <c r="C173" s="39" t="s">
        <v>298</v>
      </c>
      <c r="F173" s="33">
        <f t="shared" ref="F173:AI173" si="59">F163*$D$26*$D$146/100</f>
        <v>0</v>
      </c>
      <c r="G173" s="33">
        <f t="shared" si="59"/>
        <v>0</v>
      </c>
      <c r="H173" s="33">
        <f t="shared" si="59"/>
        <v>0</v>
      </c>
      <c r="I173" s="33">
        <f t="shared" si="59"/>
        <v>0</v>
      </c>
      <c r="J173" s="33">
        <f t="shared" si="59"/>
        <v>0</v>
      </c>
      <c r="K173" s="33">
        <f t="shared" si="59"/>
        <v>0</v>
      </c>
      <c r="L173" s="33">
        <f t="shared" si="59"/>
        <v>0</v>
      </c>
      <c r="M173" s="33">
        <f t="shared" si="59"/>
        <v>0</v>
      </c>
      <c r="N173" s="33">
        <f t="shared" si="59"/>
        <v>0</v>
      </c>
      <c r="O173" s="33">
        <f t="shared" si="59"/>
        <v>0</v>
      </c>
      <c r="P173" s="33">
        <f t="shared" si="59"/>
        <v>0</v>
      </c>
      <c r="Q173" s="33">
        <f t="shared" si="59"/>
        <v>0</v>
      </c>
      <c r="R173" s="33">
        <f t="shared" si="59"/>
        <v>0</v>
      </c>
      <c r="S173" s="33">
        <f t="shared" si="59"/>
        <v>0</v>
      </c>
      <c r="T173" s="33">
        <f t="shared" si="59"/>
        <v>0</v>
      </c>
      <c r="U173" s="33">
        <f t="shared" si="59"/>
        <v>0</v>
      </c>
      <c r="V173" s="33">
        <f t="shared" si="59"/>
        <v>0</v>
      </c>
      <c r="W173" s="33">
        <f t="shared" si="59"/>
        <v>0</v>
      </c>
      <c r="X173" s="33">
        <f t="shared" si="59"/>
        <v>0</v>
      </c>
      <c r="Y173" s="33">
        <f t="shared" si="59"/>
        <v>0</v>
      </c>
      <c r="Z173" s="33">
        <f t="shared" si="59"/>
        <v>0</v>
      </c>
      <c r="AA173" s="33">
        <f t="shared" si="59"/>
        <v>0</v>
      </c>
      <c r="AB173" s="33">
        <f t="shared" si="59"/>
        <v>0</v>
      </c>
      <c r="AC173" s="33">
        <f t="shared" si="59"/>
        <v>0</v>
      </c>
      <c r="AD173" s="33">
        <f t="shared" si="59"/>
        <v>0</v>
      </c>
      <c r="AE173" s="33">
        <f t="shared" si="59"/>
        <v>0</v>
      </c>
      <c r="AF173" s="33">
        <f t="shared" si="59"/>
        <v>0</v>
      </c>
      <c r="AG173" s="33">
        <f t="shared" si="59"/>
        <v>0</v>
      </c>
      <c r="AH173" s="33">
        <f t="shared" si="59"/>
        <v>0</v>
      </c>
      <c r="AI173" s="33">
        <f t="shared" si="59"/>
        <v>0</v>
      </c>
    </row>
    <row r="174" spans="3:35" x14ac:dyDescent="0.25">
      <c r="C174" s="39" t="s">
        <v>299</v>
      </c>
      <c r="F174" s="33">
        <f t="shared" ref="F174:AI174" si="60">F163*$D$27*$D$154/100</f>
        <v>0</v>
      </c>
      <c r="G174" s="33">
        <f t="shared" si="60"/>
        <v>0</v>
      </c>
      <c r="H174" s="33">
        <f t="shared" si="60"/>
        <v>0</v>
      </c>
      <c r="I174" s="33">
        <f t="shared" si="60"/>
        <v>0</v>
      </c>
      <c r="J174" s="33">
        <f t="shared" si="60"/>
        <v>0</v>
      </c>
      <c r="K174" s="33">
        <f t="shared" si="60"/>
        <v>0</v>
      </c>
      <c r="L174" s="33">
        <f t="shared" si="60"/>
        <v>0</v>
      </c>
      <c r="M174" s="33">
        <f t="shared" si="60"/>
        <v>0</v>
      </c>
      <c r="N174" s="33">
        <f t="shared" si="60"/>
        <v>0</v>
      </c>
      <c r="O174" s="33">
        <f t="shared" si="60"/>
        <v>0</v>
      </c>
      <c r="P174" s="33">
        <f t="shared" si="60"/>
        <v>0</v>
      </c>
      <c r="Q174" s="33">
        <f t="shared" si="60"/>
        <v>0</v>
      </c>
      <c r="R174" s="33">
        <f t="shared" si="60"/>
        <v>0</v>
      </c>
      <c r="S174" s="33">
        <f t="shared" si="60"/>
        <v>0</v>
      </c>
      <c r="T174" s="33">
        <f t="shared" si="60"/>
        <v>0</v>
      </c>
      <c r="U174" s="33">
        <f t="shared" si="60"/>
        <v>0</v>
      </c>
      <c r="V174" s="33">
        <f t="shared" si="60"/>
        <v>0</v>
      </c>
      <c r="W174" s="33">
        <f t="shared" si="60"/>
        <v>0</v>
      </c>
      <c r="X174" s="33">
        <f t="shared" si="60"/>
        <v>0</v>
      </c>
      <c r="Y174" s="33">
        <f t="shared" si="60"/>
        <v>0</v>
      </c>
      <c r="Z174" s="33">
        <f t="shared" si="60"/>
        <v>0</v>
      </c>
      <c r="AA174" s="33">
        <f t="shared" si="60"/>
        <v>0</v>
      </c>
      <c r="AB174" s="33">
        <f t="shared" si="60"/>
        <v>0</v>
      </c>
      <c r="AC174" s="33">
        <f t="shared" si="60"/>
        <v>0</v>
      </c>
      <c r="AD174" s="33">
        <f t="shared" si="60"/>
        <v>0</v>
      </c>
      <c r="AE174" s="33">
        <f t="shared" si="60"/>
        <v>0</v>
      </c>
      <c r="AF174" s="33">
        <f t="shared" si="60"/>
        <v>0</v>
      </c>
      <c r="AG174" s="33">
        <f t="shared" si="60"/>
        <v>0</v>
      </c>
      <c r="AH174" s="33">
        <f t="shared" si="60"/>
        <v>0</v>
      </c>
      <c r="AI174" s="33">
        <f t="shared" si="60"/>
        <v>0</v>
      </c>
    </row>
    <row r="175" spans="3:35" x14ac:dyDescent="0.25">
      <c r="C175" s="39" t="s">
        <v>300</v>
      </c>
      <c r="F175" s="32">
        <f t="shared" ref="F175:AI175" si="61">F173+F174</f>
        <v>0</v>
      </c>
      <c r="G175" s="32">
        <f t="shared" si="61"/>
        <v>0</v>
      </c>
      <c r="H175" s="32">
        <f t="shared" si="61"/>
        <v>0</v>
      </c>
      <c r="I175" s="32">
        <f t="shared" si="61"/>
        <v>0</v>
      </c>
      <c r="J175" s="32">
        <f t="shared" si="61"/>
        <v>0</v>
      </c>
      <c r="K175" s="32">
        <f t="shared" si="61"/>
        <v>0</v>
      </c>
      <c r="L175" s="32">
        <f t="shared" si="61"/>
        <v>0</v>
      </c>
      <c r="M175" s="32">
        <f t="shared" si="61"/>
        <v>0</v>
      </c>
      <c r="N175" s="32">
        <f t="shared" si="61"/>
        <v>0</v>
      </c>
      <c r="O175" s="32">
        <f t="shared" si="61"/>
        <v>0</v>
      </c>
      <c r="P175" s="32">
        <f t="shared" si="61"/>
        <v>0</v>
      </c>
      <c r="Q175" s="32">
        <f t="shared" si="61"/>
        <v>0</v>
      </c>
      <c r="R175" s="32">
        <f t="shared" si="61"/>
        <v>0</v>
      </c>
      <c r="S175" s="32">
        <f t="shared" si="61"/>
        <v>0</v>
      </c>
      <c r="T175" s="32">
        <f t="shared" si="61"/>
        <v>0</v>
      </c>
      <c r="U175" s="32">
        <f t="shared" si="61"/>
        <v>0</v>
      </c>
      <c r="V175" s="32">
        <f t="shared" si="61"/>
        <v>0</v>
      </c>
      <c r="W175" s="32">
        <f t="shared" si="61"/>
        <v>0</v>
      </c>
      <c r="X175" s="32">
        <f t="shared" si="61"/>
        <v>0</v>
      </c>
      <c r="Y175" s="32">
        <f t="shared" si="61"/>
        <v>0</v>
      </c>
      <c r="Z175" s="32">
        <f t="shared" si="61"/>
        <v>0</v>
      </c>
      <c r="AA175" s="32">
        <f t="shared" si="61"/>
        <v>0</v>
      </c>
      <c r="AB175" s="32">
        <f t="shared" si="61"/>
        <v>0</v>
      </c>
      <c r="AC175" s="32">
        <f t="shared" si="61"/>
        <v>0</v>
      </c>
      <c r="AD175" s="32">
        <f t="shared" si="61"/>
        <v>0</v>
      </c>
      <c r="AE175" s="32">
        <f t="shared" si="61"/>
        <v>0</v>
      </c>
      <c r="AF175" s="32">
        <f t="shared" si="61"/>
        <v>0</v>
      </c>
      <c r="AG175" s="32">
        <f t="shared" si="61"/>
        <v>0</v>
      </c>
      <c r="AH175" s="32">
        <f t="shared" si="61"/>
        <v>0</v>
      </c>
      <c r="AI175" s="32">
        <f t="shared" si="61"/>
        <v>0</v>
      </c>
    </row>
    <row r="177" spans="3:36" x14ac:dyDescent="0.25">
      <c r="C177" s="30" t="s">
        <v>301</v>
      </c>
      <c r="F177" s="32">
        <f t="shared" ref="F177:AI177" si="62">F173*(1/((1+$D$2)^F$4))</f>
        <v>0</v>
      </c>
      <c r="G177" s="32">
        <f t="shared" si="62"/>
        <v>0</v>
      </c>
      <c r="H177" s="32">
        <f t="shared" si="62"/>
        <v>0</v>
      </c>
      <c r="I177" s="32">
        <f t="shared" si="62"/>
        <v>0</v>
      </c>
      <c r="J177" s="32">
        <f t="shared" si="62"/>
        <v>0</v>
      </c>
      <c r="K177" s="32">
        <f t="shared" si="62"/>
        <v>0</v>
      </c>
      <c r="L177" s="32">
        <f t="shared" si="62"/>
        <v>0</v>
      </c>
      <c r="M177" s="32">
        <f t="shared" si="62"/>
        <v>0</v>
      </c>
      <c r="N177" s="32">
        <f t="shared" si="62"/>
        <v>0</v>
      </c>
      <c r="O177" s="32">
        <f t="shared" si="62"/>
        <v>0</v>
      </c>
      <c r="P177" s="32">
        <f t="shared" si="62"/>
        <v>0</v>
      </c>
      <c r="Q177" s="32">
        <f t="shared" si="62"/>
        <v>0</v>
      </c>
      <c r="R177" s="32">
        <f t="shared" si="62"/>
        <v>0</v>
      </c>
      <c r="S177" s="32">
        <f t="shared" si="62"/>
        <v>0</v>
      </c>
      <c r="T177" s="32">
        <f t="shared" si="62"/>
        <v>0</v>
      </c>
      <c r="U177" s="32">
        <f t="shared" si="62"/>
        <v>0</v>
      </c>
      <c r="V177" s="32">
        <f t="shared" si="62"/>
        <v>0</v>
      </c>
      <c r="W177" s="32">
        <f t="shared" si="62"/>
        <v>0</v>
      </c>
      <c r="X177" s="32">
        <f t="shared" si="62"/>
        <v>0</v>
      </c>
      <c r="Y177" s="32">
        <f t="shared" si="62"/>
        <v>0</v>
      </c>
      <c r="Z177" s="32">
        <f t="shared" si="62"/>
        <v>0</v>
      </c>
      <c r="AA177" s="32">
        <f t="shared" si="62"/>
        <v>0</v>
      </c>
      <c r="AB177" s="32">
        <f t="shared" si="62"/>
        <v>0</v>
      </c>
      <c r="AC177" s="32">
        <f t="shared" si="62"/>
        <v>0</v>
      </c>
      <c r="AD177" s="32">
        <f t="shared" si="62"/>
        <v>0</v>
      </c>
      <c r="AE177" s="32">
        <f t="shared" si="62"/>
        <v>0</v>
      </c>
      <c r="AF177" s="32">
        <f t="shared" si="62"/>
        <v>0</v>
      </c>
      <c r="AG177" s="32">
        <f t="shared" si="62"/>
        <v>0</v>
      </c>
      <c r="AH177" s="32">
        <f t="shared" si="62"/>
        <v>0</v>
      </c>
      <c r="AI177" s="32">
        <f t="shared" si="62"/>
        <v>0</v>
      </c>
      <c r="AJ177" s="66">
        <f>SUM(F177:AI177)</f>
        <v>0</v>
      </c>
    </row>
    <row r="178" spans="3:36" x14ac:dyDescent="0.25">
      <c r="C178" s="30" t="s">
        <v>302</v>
      </c>
      <c r="F178" s="32">
        <f t="shared" ref="F178:AI178" si="63">F174*(1/((1+$D$2)^F$4))</f>
        <v>0</v>
      </c>
      <c r="G178" s="32">
        <f t="shared" si="63"/>
        <v>0</v>
      </c>
      <c r="H178" s="32">
        <f t="shared" si="63"/>
        <v>0</v>
      </c>
      <c r="I178" s="32">
        <f t="shared" si="63"/>
        <v>0</v>
      </c>
      <c r="J178" s="32">
        <f t="shared" si="63"/>
        <v>0</v>
      </c>
      <c r="K178" s="32">
        <f t="shared" si="63"/>
        <v>0</v>
      </c>
      <c r="L178" s="32">
        <f t="shared" si="63"/>
        <v>0</v>
      </c>
      <c r="M178" s="32">
        <f t="shared" si="63"/>
        <v>0</v>
      </c>
      <c r="N178" s="32">
        <f t="shared" si="63"/>
        <v>0</v>
      </c>
      <c r="O178" s="32">
        <f t="shared" si="63"/>
        <v>0</v>
      </c>
      <c r="P178" s="32">
        <f t="shared" si="63"/>
        <v>0</v>
      </c>
      <c r="Q178" s="32">
        <f t="shared" si="63"/>
        <v>0</v>
      </c>
      <c r="R178" s="32">
        <f t="shared" si="63"/>
        <v>0</v>
      </c>
      <c r="S178" s="32">
        <f t="shared" si="63"/>
        <v>0</v>
      </c>
      <c r="T178" s="32">
        <f t="shared" si="63"/>
        <v>0</v>
      </c>
      <c r="U178" s="32">
        <f t="shared" si="63"/>
        <v>0</v>
      </c>
      <c r="V178" s="32">
        <f t="shared" si="63"/>
        <v>0</v>
      </c>
      <c r="W178" s="32">
        <f t="shared" si="63"/>
        <v>0</v>
      </c>
      <c r="X178" s="32">
        <f t="shared" si="63"/>
        <v>0</v>
      </c>
      <c r="Y178" s="32">
        <f t="shared" si="63"/>
        <v>0</v>
      </c>
      <c r="Z178" s="32">
        <f t="shared" si="63"/>
        <v>0</v>
      </c>
      <c r="AA178" s="32">
        <f t="shared" si="63"/>
        <v>0</v>
      </c>
      <c r="AB178" s="32">
        <f t="shared" si="63"/>
        <v>0</v>
      </c>
      <c r="AC178" s="32">
        <f t="shared" si="63"/>
        <v>0</v>
      </c>
      <c r="AD178" s="32">
        <f t="shared" si="63"/>
        <v>0</v>
      </c>
      <c r="AE178" s="32">
        <f t="shared" si="63"/>
        <v>0</v>
      </c>
      <c r="AF178" s="32">
        <f t="shared" si="63"/>
        <v>0</v>
      </c>
      <c r="AG178" s="32">
        <f t="shared" si="63"/>
        <v>0</v>
      </c>
      <c r="AH178" s="32">
        <f t="shared" si="63"/>
        <v>0</v>
      </c>
      <c r="AI178" s="32">
        <f t="shared" si="63"/>
        <v>0</v>
      </c>
      <c r="AJ178" s="66">
        <f t="shared" ref="AJ178:AJ181" si="64">SUM(F178:AI178)</f>
        <v>0</v>
      </c>
    </row>
    <row r="179" spans="3:36" x14ac:dyDescent="0.25">
      <c r="C179" s="30" t="s">
        <v>303</v>
      </c>
      <c r="F179" s="32">
        <f>F178*$D$31</f>
        <v>0</v>
      </c>
      <c r="G179" s="32">
        <f t="shared" ref="G179:AI179" si="65">G178*$D$31</f>
        <v>0</v>
      </c>
      <c r="H179" s="32">
        <f t="shared" si="65"/>
        <v>0</v>
      </c>
      <c r="I179" s="32">
        <f t="shared" si="65"/>
        <v>0</v>
      </c>
      <c r="J179" s="32">
        <f t="shared" si="65"/>
        <v>0</v>
      </c>
      <c r="K179" s="32">
        <f t="shared" si="65"/>
        <v>0</v>
      </c>
      <c r="L179" s="32">
        <f t="shared" si="65"/>
        <v>0</v>
      </c>
      <c r="M179" s="32">
        <f t="shared" si="65"/>
        <v>0</v>
      </c>
      <c r="N179" s="32">
        <f t="shared" si="65"/>
        <v>0</v>
      </c>
      <c r="O179" s="32">
        <f t="shared" si="65"/>
        <v>0</v>
      </c>
      <c r="P179" s="32">
        <f t="shared" si="65"/>
        <v>0</v>
      </c>
      <c r="Q179" s="32">
        <f t="shared" si="65"/>
        <v>0</v>
      </c>
      <c r="R179" s="32">
        <f t="shared" si="65"/>
        <v>0</v>
      </c>
      <c r="S179" s="32">
        <f t="shared" si="65"/>
        <v>0</v>
      </c>
      <c r="T179" s="32">
        <f t="shared" si="65"/>
        <v>0</v>
      </c>
      <c r="U179" s="32">
        <f t="shared" si="65"/>
        <v>0</v>
      </c>
      <c r="V179" s="32">
        <f t="shared" si="65"/>
        <v>0</v>
      </c>
      <c r="W179" s="32">
        <f t="shared" si="65"/>
        <v>0</v>
      </c>
      <c r="X179" s="32">
        <f t="shared" si="65"/>
        <v>0</v>
      </c>
      <c r="Y179" s="32">
        <f t="shared" si="65"/>
        <v>0</v>
      </c>
      <c r="Z179" s="32">
        <f t="shared" si="65"/>
        <v>0</v>
      </c>
      <c r="AA179" s="32">
        <f t="shared" si="65"/>
        <v>0</v>
      </c>
      <c r="AB179" s="32">
        <f t="shared" si="65"/>
        <v>0</v>
      </c>
      <c r="AC179" s="32">
        <f t="shared" si="65"/>
        <v>0</v>
      </c>
      <c r="AD179" s="32">
        <f t="shared" si="65"/>
        <v>0</v>
      </c>
      <c r="AE179" s="32">
        <f t="shared" si="65"/>
        <v>0</v>
      </c>
      <c r="AF179" s="32">
        <f t="shared" si="65"/>
        <v>0</v>
      </c>
      <c r="AG179" s="32">
        <f t="shared" si="65"/>
        <v>0</v>
      </c>
      <c r="AH179" s="32">
        <f t="shared" si="65"/>
        <v>0</v>
      </c>
      <c r="AI179" s="32">
        <f t="shared" si="65"/>
        <v>0</v>
      </c>
      <c r="AJ179" s="66">
        <f t="shared" si="64"/>
        <v>0</v>
      </c>
    </row>
    <row r="180" spans="3:36" x14ac:dyDescent="0.25">
      <c r="C180" s="30" t="s">
        <v>304</v>
      </c>
      <c r="F180" s="32">
        <f>F178*$D$32</f>
        <v>0</v>
      </c>
      <c r="G180" s="32">
        <f t="shared" ref="G180:AI180" si="66">G178*$D$32</f>
        <v>0</v>
      </c>
      <c r="H180" s="32">
        <f t="shared" si="66"/>
        <v>0</v>
      </c>
      <c r="I180" s="32">
        <f t="shared" si="66"/>
        <v>0</v>
      </c>
      <c r="J180" s="32">
        <f t="shared" si="66"/>
        <v>0</v>
      </c>
      <c r="K180" s="32">
        <f t="shared" si="66"/>
        <v>0</v>
      </c>
      <c r="L180" s="32">
        <f t="shared" si="66"/>
        <v>0</v>
      </c>
      <c r="M180" s="32">
        <f t="shared" si="66"/>
        <v>0</v>
      </c>
      <c r="N180" s="32">
        <f t="shared" si="66"/>
        <v>0</v>
      </c>
      <c r="O180" s="32">
        <f t="shared" si="66"/>
        <v>0</v>
      </c>
      <c r="P180" s="32">
        <f t="shared" si="66"/>
        <v>0</v>
      </c>
      <c r="Q180" s="32">
        <f t="shared" si="66"/>
        <v>0</v>
      </c>
      <c r="R180" s="32">
        <f t="shared" si="66"/>
        <v>0</v>
      </c>
      <c r="S180" s="32">
        <f t="shared" si="66"/>
        <v>0</v>
      </c>
      <c r="T180" s="32">
        <f t="shared" si="66"/>
        <v>0</v>
      </c>
      <c r="U180" s="32">
        <f t="shared" si="66"/>
        <v>0</v>
      </c>
      <c r="V180" s="32">
        <f t="shared" si="66"/>
        <v>0</v>
      </c>
      <c r="W180" s="32">
        <f t="shared" si="66"/>
        <v>0</v>
      </c>
      <c r="X180" s="32">
        <f t="shared" si="66"/>
        <v>0</v>
      </c>
      <c r="Y180" s="32">
        <f t="shared" si="66"/>
        <v>0</v>
      </c>
      <c r="Z180" s="32">
        <f t="shared" si="66"/>
        <v>0</v>
      </c>
      <c r="AA180" s="32">
        <f t="shared" si="66"/>
        <v>0</v>
      </c>
      <c r="AB180" s="32">
        <f t="shared" si="66"/>
        <v>0</v>
      </c>
      <c r="AC180" s="32">
        <f t="shared" si="66"/>
        <v>0</v>
      </c>
      <c r="AD180" s="32">
        <f t="shared" si="66"/>
        <v>0</v>
      </c>
      <c r="AE180" s="32">
        <f t="shared" si="66"/>
        <v>0</v>
      </c>
      <c r="AF180" s="32">
        <f t="shared" si="66"/>
        <v>0</v>
      </c>
      <c r="AG180" s="32">
        <f t="shared" si="66"/>
        <v>0</v>
      </c>
      <c r="AH180" s="32">
        <f t="shared" si="66"/>
        <v>0</v>
      </c>
      <c r="AI180" s="32">
        <f t="shared" si="66"/>
        <v>0</v>
      </c>
      <c r="AJ180" s="66">
        <f t="shared" si="64"/>
        <v>0</v>
      </c>
    </row>
    <row r="181" spans="3:36" x14ac:dyDescent="0.25">
      <c r="C181" s="30" t="s">
        <v>305</v>
      </c>
      <c r="F181" s="32">
        <f t="shared" ref="F181:AI181" si="67">F175*(1/((1+$D$2)^F$4))</f>
        <v>0</v>
      </c>
      <c r="G181" s="32">
        <f t="shared" si="67"/>
        <v>0</v>
      </c>
      <c r="H181" s="32">
        <f t="shared" si="67"/>
        <v>0</v>
      </c>
      <c r="I181" s="32">
        <f t="shared" si="67"/>
        <v>0</v>
      </c>
      <c r="J181" s="32">
        <f t="shared" si="67"/>
        <v>0</v>
      </c>
      <c r="K181" s="32">
        <f t="shared" si="67"/>
        <v>0</v>
      </c>
      <c r="L181" s="32">
        <f t="shared" si="67"/>
        <v>0</v>
      </c>
      <c r="M181" s="32">
        <f t="shared" si="67"/>
        <v>0</v>
      </c>
      <c r="N181" s="32">
        <f t="shared" si="67"/>
        <v>0</v>
      </c>
      <c r="O181" s="32">
        <f t="shared" si="67"/>
        <v>0</v>
      </c>
      <c r="P181" s="32">
        <f t="shared" si="67"/>
        <v>0</v>
      </c>
      <c r="Q181" s="32">
        <f t="shared" si="67"/>
        <v>0</v>
      </c>
      <c r="R181" s="32">
        <f t="shared" si="67"/>
        <v>0</v>
      </c>
      <c r="S181" s="32">
        <f t="shared" si="67"/>
        <v>0</v>
      </c>
      <c r="T181" s="32">
        <f t="shared" si="67"/>
        <v>0</v>
      </c>
      <c r="U181" s="32">
        <f t="shared" si="67"/>
        <v>0</v>
      </c>
      <c r="V181" s="32">
        <f t="shared" si="67"/>
        <v>0</v>
      </c>
      <c r="W181" s="32">
        <f t="shared" si="67"/>
        <v>0</v>
      </c>
      <c r="X181" s="32">
        <f t="shared" si="67"/>
        <v>0</v>
      </c>
      <c r="Y181" s="32">
        <f t="shared" si="67"/>
        <v>0</v>
      </c>
      <c r="Z181" s="32">
        <f t="shared" si="67"/>
        <v>0</v>
      </c>
      <c r="AA181" s="32">
        <f t="shared" si="67"/>
        <v>0</v>
      </c>
      <c r="AB181" s="32">
        <f t="shared" si="67"/>
        <v>0</v>
      </c>
      <c r="AC181" s="32">
        <f t="shared" si="67"/>
        <v>0</v>
      </c>
      <c r="AD181" s="32">
        <f t="shared" si="67"/>
        <v>0</v>
      </c>
      <c r="AE181" s="32">
        <f t="shared" si="67"/>
        <v>0</v>
      </c>
      <c r="AF181" s="32">
        <f t="shared" si="67"/>
        <v>0</v>
      </c>
      <c r="AG181" s="32">
        <f t="shared" si="67"/>
        <v>0</v>
      </c>
      <c r="AH181" s="32">
        <f t="shared" si="67"/>
        <v>0</v>
      </c>
      <c r="AI181" s="32">
        <f t="shared" si="67"/>
        <v>0</v>
      </c>
      <c r="AJ181" s="66">
        <f t="shared" si="64"/>
        <v>0</v>
      </c>
    </row>
    <row r="183" spans="3:36" x14ac:dyDescent="0.25">
      <c r="C183" s="39" t="s">
        <v>306</v>
      </c>
      <c r="F183" s="32">
        <f t="shared" ref="F183:AI183" si="68">((F164*($D$26*$D$159*$D$50))+((F163*$D$168*$D$26*$D$159)/100)+(($D$26*F163*$D$157*$D$159)/100)+(F164*($D$26*$D$160*$D$50)))*$D$29</f>
        <v>0</v>
      </c>
      <c r="G183" s="32">
        <f t="shared" si="68"/>
        <v>0</v>
      </c>
      <c r="H183" s="32">
        <f t="shared" si="68"/>
        <v>0</v>
      </c>
      <c r="I183" s="32">
        <f t="shared" si="68"/>
        <v>0</v>
      </c>
      <c r="J183" s="32">
        <f t="shared" si="68"/>
        <v>0</v>
      </c>
      <c r="K183" s="32">
        <f t="shared" si="68"/>
        <v>0</v>
      </c>
      <c r="L183" s="32">
        <f t="shared" si="68"/>
        <v>0</v>
      </c>
      <c r="M183" s="32">
        <f t="shared" si="68"/>
        <v>0</v>
      </c>
      <c r="N183" s="32">
        <f t="shared" si="68"/>
        <v>0</v>
      </c>
      <c r="O183" s="32">
        <f t="shared" si="68"/>
        <v>0</v>
      </c>
      <c r="P183" s="32">
        <f t="shared" si="68"/>
        <v>0</v>
      </c>
      <c r="Q183" s="32">
        <f t="shared" si="68"/>
        <v>0</v>
      </c>
      <c r="R183" s="32">
        <f t="shared" si="68"/>
        <v>0</v>
      </c>
      <c r="S183" s="32">
        <f t="shared" si="68"/>
        <v>0</v>
      </c>
      <c r="T183" s="32">
        <f t="shared" si="68"/>
        <v>0</v>
      </c>
      <c r="U183" s="32">
        <f t="shared" si="68"/>
        <v>0</v>
      </c>
      <c r="V183" s="32">
        <f t="shared" si="68"/>
        <v>0</v>
      </c>
      <c r="W183" s="32">
        <f t="shared" si="68"/>
        <v>0</v>
      </c>
      <c r="X183" s="32">
        <f t="shared" si="68"/>
        <v>0</v>
      </c>
      <c r="Y183" s="32">
        <f t="shared" si="68"/>
        <v>0</v>
      </c>
      <c r="Z183" s="32">
        <f t="shared" si="68"/>
        <v>0</v>
      </c>
      <c r="AA183" s="32">
        <f t="shared" si="68"/>
        <v>0</v>
      </c>
      <c r="AB183" s="32">
        <f t="shared" si="68"/>
        <v>0</v>
      </c>
      <c r="AC183" s="32">
        <f t="shared" si="68"/>
        <v>0</v>
      </c>
      <c r="AD183" s="32">
        <f t="shared" si="68"/>
        <v>0</v>
      </c>
      <c r="AE183" s="32">
        <f t="shared" si="68"/>
        <v>0</v>
      </c>
      <c r="AF183" s="32">
        <f t="shared" si="68"/>
        <v>0</v>
      </c>
      <c r="AG183" s="32">
        <f t="shared" si="68"/>
        <v>0</v>
      </c>
      <c r="AH183" s="32">
        <f t="shared" si="68"/>
        <v>0</v>
      </c>
      <c r="AI183" s="32">
        <f t="shared" si="68"/>
        <v>0</v>
      </c>
    </row>
    <row r="184" spans="3:36" x14ac:dyDescent="0.25">
      <c r="C184" s="39" t="s">
        <v>307</v>
      </c>
      <c r="F184" s="32">
        <f t="shared" ref="F184:AI184" si="69">((F164*($D$27*$D$159*$D$51))+((F163*$D$169*$D$27*$D$159)/100)+(($D$27*F163*$D$157*$D$159)/100)+(F164*($D$27*$D$160*$D$51)))*$D$29</f>
        <v>0</v>
      </c>
      <c r="G184" s="32">
        <f t="shared" si="69"/>
        <v>0</v>
      </c>
      <c r="H184" s="32">
        <f t="shared" si="69"/>
        <v>0</v>
      </c>
      <c r="I184" s="32">
        <f t="shared" si="69"/>
        <v>0</v>
      </c>
      <c r="J184" s="32">
        <f t="shared" si="69"/>
        <v>0</v>
      </c>
      <c r="K184" s="32">
        <f t="shared" si="69"/>
        <v>0</v>
      </c>
      <c r="L184" s="32">
        <f t="shared" si="69"/>
        <v>0</v>
      </c>
      <c r="M184" s="32">
        <f t="shared" si="69"/>
        <v>0</v>
      </c>
      <c r="N184" s="32">
        <f t="shared" si="69"/>
        <v>0</v>
      </c>
      <c r="O184" s="32">
        <f t="shared" si="69"/>
        <v>0</v>
      </c>
      <c r="P184" s="32">
        <f t="shared" si="69"/>
        <v>0</v>
      </c>
      <c r="Q184" s="32">
        <f t="shared" si="69"/>
        <v>0</v>
      </c>
      <c r="R184" s="32">
        <f t="shared" si="69"/>
        <v>0</v>
      </c>
      <c r="S184" s="32">
        <f t="shared" si="69"/>
        <v>0</v>
      </c>
      <c r="T184" s="32">
        <f t="shared" si="69"/>
        <v>0</v>
      </c>
      <c r="U184" s="32">
        <f t="shared" si="69"/>
        <v>0</v>
      </c>
      <c r="V184" s="32">
        <f t="shared" si="69"/>
        <v>0</v>
      </c>
      <c r="W184" s="32">
        <f t="shared" si="69"/>
        <v>0</v>
      </c>
      <c r="X184" s="32">
        <f t="shared" si="69"/>
        <v>0</v>
      </c>
      <c r="Y184" s="32">
        <f t="shared" si="69"/>
        <v>0</v>
      </c>
      <c r="Z184" s="32">
        <f t="shared" si="69"/>
        <v>0</v>
      </c>
      <c r="AA184" s="32">
        <f t="shared" si="69"/>
        <v>0</v>
      </c>
      <c r="AB184" s="32">
        <f t="shared" si="69"/>
        <v>0</v>
      </c>
      <c r="AC184" s="32">
        <f t="shared" si="69"/>
        <v>0</v>
      </c>
      <c r="AD184" s="32">
        <f t="shared" si="69"/>
        <v>0</v>
      </c>
      <c r="AE184" s="32">
        <f t="shared" si="69"/>
        <v>0</v>
      </c>
      <c r="AF184" s="32">
        <f t="shared" si="69"/>
        <v>0</v>
      </c>
      <c r="AG184" s="32">
        <f t="shared" si="69"/>
        <v>0</v>
      </c>
      <c r="AH184" s="32">
        <f t="shared" si="69"/>
        <v>0</v>
      </c>
      <c r="AI184" s="32">
        <f t="shared" si="69"/>
        <v>0</v>
      </c>
    </row>
    <row r="185" spans="3:36" x14ac:dyDescent="0.25">
      <c r="C185" s="39" t="s">
        <v>308</v>
      </c>
      <c r="F185" s="32" t="e">
        <f t="shared" ref="F185:AI185" si="70">(SUM(F165:F170))*$D$29</f>
        <v>#DIV/0!</v>
      </c>
      <c r="G185" s="32" t="e">
        <f t="shared" si="70"/>
        <v>#DIV/0!</v>
      </c>
      <c r="H185" s="32" t="e">
        <f t="shared" si="70"/>
        <v>#DIV/0!</v>
      </c>
      <c r="I185" s="32" t="e">
        <f t="shared" si="70"/>
        <v>#DIV/0!</v>
      </c>
      <c r="J185" s="32" t="e">
        <f t="shared" si="70"/>
        <v>#DIV/0!</v>
      </c>
      <c r="K185" s="32" t="e">
        <f t="shared" si="70"/>
        <v>#DIV/0!</v>
      </c>
      <c r="L185" s="32" t="e">
        <f t="shared" si="70"/>
        <v>#DIV/0!</v>
      </c>
      <c r="M185" s="32" t="e">
        <f t="shared" si="70"/>
        <v>#DIV/0!</v>
      </c>
      <c r="N185" s="32" t="e">
        <f t="shared" si="70"/>
        <v>#DIV/0!</v>
      </c>
      <c r="O185" s="32" t="e">
        <f t="shared" si="70"/>
        <v>#DIV/0!</v>
      </c>
      <c r="P185" s="32" t="e">
        <f t="shared" si="70"/>
        <v>#DIV/0!</v>
      </c>
      <c r="Q185" s="32" t="e">
        <f t="shared" si="70"/>
        <v>#DIV/0!</v>
      </c>
      <c r="R185" s="32" t="e">
        <f t="shared" si="70"/>
        <v>#DIV/0!</v>
      </c>
      <c r="S185" s="32" t="e">
        <f t="shared" si="70"/>
        <v>#DIV/0!</v>
      </c>
      <c r="T185" s="32" t="e">
        <f t="shared" si="70"/>
        <v>#DIV/0!</v>
      </c>
      <c r="U185" s="32" t="e">
        <f t="shared" si="70"/>
        <v>#DIV/0!</v>
      </c>
      <c r="V185" s="32" t="e">
        <f t="shared" si="70"/>
        <v>#DIV/0!</v>
      </c>
      <c r="W185" s="32" t="e">
        <f t="shared" si="70"/>
        <v>#DIV/0!</v>
      </c>
      <c r="X185" s="32" t="e">
        <f t="shared" si="70"/>
        <v>#DIV/0!</v>
      </c>
      <c r="Y185" s="32" t="e">
        <f t="shared" si="70"/>
        <v>#DIV/0!</v>
      </c>
      <c r="Z185" s="32" t="e">
        <f t="shared" si="70"/>
        <v>#DIV/0!</v>
      </c>
      <c r="AA185" s="32" t="e">
        <f t="shared" si="70"/>
        <v>#DIV/0!</v>
      </c>
      <c r="AB185" s="32" t="e">
        <f t="shared" si="70"/>
        <v>#DIV/0!</v>
      </c>
      <c r="AC185" s="32" t="e">
        <f t="shared" si="70"/>
        <v>#DIV/0!</v>
      </c>
      <c r="AD185" s="32" t="e">
        <f t="shared" si="70"/>
        <v>#DIV/0!</v>
      </c>
      <c r="AE185" s="32" t="e">
        <f t="shared" si="70"/>
        <v>#DIV/0!</v>
      </c>
      <c r="AF185" s="32" t="e">
        <f t="shared" si="70"/>
        <v>#DIV/0!</v>
      </c>
      <c r="AG185" s="32" t="e">
        <f t="shared" si="70"/>
        <v>#DIV/0!</v>
      </c>
      <c r="AH185" s="32" t="e">
        <f t="shared" si="70"/>
        <v>#DIV/0!</v>
      </c>
      <c r="AI185" s="32" t="e">
        <f t="shared" si="70"/>
        <v>#DIV/0!</v>
      </c>
    </row>
    <row r="187" spans="3:36" x14ac:dyDescent="0.25">
      <c r="C187" s="30" t="s">
        <v>309</v>
      </c>
      <c r="F187" s="32">
        <f t="shared" ref="F187:AI187" si="71">F183*(1/((1+$D$2)^F$4))</f>
        <v>0</v>
      </c>
      <c r="G187" s="32">
        <f t="shared" si="71"/>
        <v>0</v>
      </c>
      <c r="H187" s="32">
        <f t="shared" si="71"/>
        <v>0</v>
      </c>
      <c r="I187" s="32">
        <f t="shared" si="71"/>
        <v>0</v>
      </c>
      <c r="J187" s="32">
        <f t="shared" si="71"/>
        <v>0</v>
      </c>
      <c r="K187" s="32">
        <f t="shared" si="71"/>
        <v>0</v>
      </c>
      <c r="L187" s="32">
        <f t="shared" si="71"/>
        <v>0</v>
      </c>
      <c r="M187" s="32">
        <f t="shared" si="71"/>
        <v>0</v>
      </c>
      <c r="N187" s="32">
        <f t="shared" si="71"/>
        <v>0</v>
      </c>
      <c r="O187" s="32">
        <f t="shared" si="71"/>
        <v>0</v>
      </c>
      <c r="P187" s="32">
        <f t="shared" si="71"/>
        <v>0</v>
      </c>
      <c r="Q187" s="32">
        <f t="shared" si="71"/>
        <v>0</v>
      </c>
      <c r="R187" s="32">
        <f t="shared" si="71"/>
        <v>0</v>
      </c>
      <c r="S187" s="32">
        <f t="shared" si="71"/>
        <v>0</v>
      </c>
      <c r="T187" s="32">
        <f t="shared" si="71"/>
        <v>0</v>
      </c>
      <c r="U187" s="32">
        <f t="shared" si="71"/>
        <v>0</v>
      </c>
      <c r="V187" s="32">
        <f t="shared" si="71"/>
        <v>0</v>
      </c>
      <c r="W187" s="32">
        <f t="shared" si="71"/>
        <v>0</v>
      </c>
      <c r="X187" s="32">
        <f t="shared" si="71"/>
        <v>0</v>
      </c>
      <c r="Y187" s="32">
        <f t="shared" si="71"/>
        <v>0</v>
      </c>
      <c r="Z187" s="32">
        <f t="shared" si="71"/>
        <v>0</v>
      </c>
      <c r="AA187" s="32">
        <f t="shared" si="71"/>
        <v>0</v>
      </c>
      <c r="AB187" s="32">
        <f t="shared" si="71"/>
        <v>0</v>
      </c>
      <c r="AC187" s="32">
        <f t="shared" si="71"/>
        <v>0</v>
      </c>
      <c r="AD187" s="32">
        <f t="shared" si="71"/>
        <v>0</v>
      </c>
      <c r="AE187" s="32">
        <f t="shared" si="71"/>
        <v>0</v>
      </c>
      <c r="AF187" s="32">
        <f t="shared" si="71"/>
        <v>0</v>
      </c>
      <c r="AG187" s="32">
        <f t="shared" si="71"/>
        <v>0</v>
      </c>
      <c r="AH187" s="32">
        <f t="shared" si="71"/>
        <v>0</v>
      </c>
      <c r="AI187" s="32">
        <f t="shared" si="71"/>
        <v>0</v>
      </c>
      <c r="AJ187" s="66">
        <f>SUM(F187:AI187)</f>
        <v>0</v>
      </c>
    </row>
    <row r="188" spans="3:36" x14ac:dyDescent="0.25">
      <c r="C188" s="30" t="s">
        <v>310</v>
      </c>
      <c r="F188" s="32">
        <f t="shared" ref="F188:AI188" si="72">F184*(1/((1+$D$2)^F$4))</f>
        <v>0</v>
      </c>
      <c r="G188" s="32">
        <f t="shared" si="72"/>
        <v>0</v>
      </c>
      <c r="H188" s="32">
        <f t="shared" si="72"/>
        <v>0</v>
      </c>
      <c r="I188" s="32">
        <f t="shared" si="72"/>
        <v>0</v>
      </c>
      <c r="J188" s="32">
        <f t="shared" si="72"/>
        <v>0</v>
      </c>
      <c r="K188" s="32">
        <f t="shared" si="72"/>
        <v>0</v>
      </c>
      <c r="L188" s="32">
        <f t="shared" si="72"/>
        <v>0</v>
      </c>
      <c r="M188" s="32">
        <f t="shared" si="72"/>
        <v>0</v>
      </c>
      <c r="N188" s="32">
        <f t="shared" si="72"/>
        <v>0</v>
      </c>
      <c r="O188" s="32">
        <f t="shared" si="72"/>
        <v>0</v>
      </c>
      <c r="P188" s="32">
        <f t="shared" si="72"/>
        <v>0</v>
      </c>
      <c r="Q188" s="32">
        <f t="shared" si="72"/>
        <v>0</v>
      </c>
      <c r="R188" s="32">
        <f t="shared" si="72"/>
        <v>0</v>
      </c>
      <c r="S188" s="32">
        <f t="shared" si="72"/>
        <v>0</v>
      </c>
      <c r="T188" s="32">
        <f t="shared" si="72"/>
        <v>0</v>
      </c>
      <c r="U188" s="32">
        <f t="shared" si="72"/>
        <v>0</v>
      </c>
      <c r="V188" s="32">
        <f t="shared" si="72"/>
        <v>0</v>
      </c>
      <c r="W188" s="32">
        <f t="shared" si="72"/>
        <v>0</v>
      </c>
      <c r="X188" s="32">
        <f t="shared" si="72"/>
        <v>0</v>
      </c>
      <c r="Y188" s="32">
        <f t="shared" si="72"/>
        <v>0</v>
      </c>
      <c r="Z188" s="32">
        <f t="shared" si="72"/>
        <v>0</v>
      </c>
      <c r="AA188" s="32">
        <f t="shared" si="72"/>
        <v>0</v>
      </c>
      <c r="AB188" s="32">
        <f t="shared" si="72"/>
        <v>0</v>
      </c>
      <c r="AC188" s="32">
        <f t="shared" si="72"/>
        <v>0</v>
      </c>
      <c r="AD188" s="32">
        <f t="shared" si="72"/>
        <v>0</v>
      </c>
      <c r="AE188" s="32">
        <f t="shared" si="72"/>
        <v>0</v>
      </c>
      <c r="AF188" s="32">
        <f t="shared" si="72"/>
        <v>0</v>
      </c>
      <c r="AG188" s="32">
        <f t="shared" si="72"/>
        <v>0</v>
      </c>
      <c r="AH188" s="32">
        <f t="shared" si="72"/>
        <v>0</v>
      </c>
      <c r="AI188" s="32">
        <f t="shared" si="72"/>
        <v>0</v>
      </c>
      <c r="AJ188" s="66">
        <f t="shared" ref="AJ188:AJ191" si="73">SUM(F188:AI188)</f>
        <v>0</v>
      </c>
    </row>
    <row r="189" spans="3:36" x14ac:dyDescent="0.25">
      <c r="C189" s="30" t="s">
        <v>311</v>
      </c>
      <c r="F189" s="32">
        <f>F188*$D$31</f>
        <v>0</v>
      </c>
      <c r="G189" s="32">
        <f t="shared" ref="G189:AI189" si="74">G188*$D$31</f>
        <v>0</v>
      </c>
      <c r="H189" s="32">
        <f t="shared" si="74"/>
        <v>0</v>
      </c>
      <c r="I189" s="32">
        <f t="shared" si="74"/>
        <v>0</v>
      </c>
      <c r="J189" s="32">
        <f t="shared" si="74"/>
        <v>0</v>
      </c>
      <c r="K189" s="32">
        <f t="shared" si="74"/>
        <v>0</v>
      </c>
      <c r="L189" s="32">
        <f t="shared" si="74"/>
        <v>0</v>
      </c>
      <c r="M189" s="32">
        <f t="shared" si="74"/>
        <v>0</v>
      </c>
      <c r="N189" s="32">
        <f t="shared" si="74"/>
        <v>0</v>
      </c>
      <c r="O189" s="32">
        <f t="shared" si="74"/>
        <v>0</v>
      </c>
      <c r="P189" s="32">
        <f t="shared" si="74"/>
        <v>0</v>
      </c>
      <c r="Q189" s="32">
        <f t="shared" si="74"/>
        <v>0</v>
      </c>
      <c r="R189" s="32">
        <f t="shared" si="74"/>
        <v>0</v>
      </c>
      <c r="S189" s="32">
        <f t="shared" si="74"/>
        <v>0</v>
      </c>
      <c r="T189" s="32">
        <f t="shared" si="74"/>
        <v>0</v>
      </c>
      <c r="U189" s="32">
        <f t="shared" si="74"/>
        <v>0</v>
      </c>
      <c r="V189" s="32">
        <f t="shared" si="74"/>
        <v>0</v>
      </c>
      <c r="W189" s="32">
        <f t="shared" si="74"/>
        <v>0</v>
      </c>
      <c r="X189" s="32">
        <f t="shared" si="74"/>
        <v>0</v>
      </c>
      <c r="Y189" s="32">
        <f t="shared" si="74"/>
        <v>0</v>
      </c>
      <c r="Z189" s="32">
        <f t="shared" si="74"/>
        <v>0</v>
      </c>
      <c r="AA189" s="32">
        <f t="shared" si="74"/>
        <v>0</v>
      </c>
      <c r="AB189" s="32">
        <f t="shared" si="74"/>
        <v>0</v>
      </c>
      <c r="AC189" s="32">
        <f t="shared" si="74"/>
        <v>0</v>
      </c>
      <c r="AD189" s="32">
        <f t="shared" si="74"/>
        <v>0</v>
      </c>
      <c r="AE189" s="32">
        <f t="shared" si="74"/>
        <v>0</v>
      </c>
      <c r="AF189" s="32">
        <f t="shared" si="74"/>
        <v>0</v>
      </c>
      <c r="AG189" s="32">
        <f t="shared" si="74"/>
        <v>0</v>
      </c>
      <c r="AH189" s="32">
        <f t="shared" si="74"/>
        <v>0</v>
      </c>
      <c r="AI189" s="32">
        <f t="shared" si="74"/>
        <v>0</v>
      </c>
      <c r="AJ189" s="66">
        <f t="shared" si="73"/>
        <v>0</v>
      </c>
    </row>
    <row r="190" spans="3:36" x14ac:dyDescent="0.25">
      <c r="C190" s="30" t="s">
        <v>312</v>
      </c>
      <c r="F190" s="32">
        <f>F188*$D$32</f>
        <v>0</v>
      </c>
      <c r="G190" s="32">
        <f t="shared" ref="G190:AI190" si="75">G188*$D$32</f>
        <v>0</v>
      </c>
      <c r="H190" s="32">
        <f t="shared" si="75"/>
        <v>0</v>
      </c>
      <c r="I190" s="32">
        <f t="shared" si="75"/>
        <v>0</v>
      </c>
      <c r="J190" s="32">
        <f t="shared" si="75"/>
        <v>0</v>
      </c>
      <c r="K190" s="32">
        <f t="shared" si="75"/>
        <v>0</v>
      </c>
      <c r="L190" s="32">
        <f t="shared" si="75"/>
        <v>0</v>
      </c>
      <c r="M190" s="32">
        <f t="shared" si="75"/>
        <v>0</v>
      </c>
      <c r="N190" s="32">
        <f t="shared" si="75"/>
        <v>0</v>
      </c>
      <c r="O190" s="32">
        <f t="shared" si="75"/>
        <v>0</v>
      </c>
      <c r="P190" s="32">
        <f t="shared" si="75"/>
        <v>0</v>
      </c>
      <c r="Q190" s="32">
        <f t="shared" si="75"/>
        <v>0</v>
      </c>
      <c r="R190" s="32">
        <f t="shared" si="75"/>
        <v>0</v>
      </c>
      <c r="S190" s="32">
        <f t="shared" si="75"/>
        <v>0</v>
      </c>
      <c r="T190" s="32">
        <f t="shared" si="75"/>
        <v>0</v>
      </c>
      <c r="U190" s="32">
        <f t="shared" si="75"/>
        <v>0</v>
      </c>
      <c r="V190" s="32">
        <f t="shared" si="75"/>
        <v>0</v>
      </c>
      <c r="W190" s="32">
        <f t="shared" si="75"/>
        <v>0</v>
      </c>
      <c r="X190" s="32">
        <f t="shared" si="75"/>
        <v>0</v>
      </c>
      <c r="Y190" s="32">
        <f t="shared" si="75"/>
        <v>0</v>
      </c>
      <c r="Z190" s="32">
        <f t="shared" si="75"/>
        <v>0</v>
      </c>
      <c r="AA190" s="32">
        <f t="shared" si="75"/>
        <v>0</v>
      </c>
      <c r="AB190" s="32">
        <f t="shared" si="75"/>
        <v>0</v>
      </c>
      <c r="AC190" s="32">
        <f t="shared" si="75"/>
        <v>0</v>
      </c>
      <c r="AD190" s="32">
        <f t="shared" si="75"/>
        <v>0</v>
      </c>
      <c r="AE190" s="32">
        <f t="shared" si="75"/>
        <v>0</v>
      </c>
      <c r="AF190" s="32">
        <f t="shared" si="75"/>
        <v>0</v>
      </c>
      <c r="AG190" s="32">
        <f t="shared" si="75"/>
        <v>0</v>
      </c>
      <c r="AH190" s="32">
        <f t="shared" si="75"/>
        <v>0</v>
      </c>
      <c r="AI190" s="32">
        <f t="shared" si="75"/>
        <v>0</v>
      </c>
      <c r="AJ190" s="66">
        <f t="shared" si="73"/>
        <v>0</v>
      </c>
    </row>
    <row r="191" spans="3:36" x14ac:dyDescent="0.25">
      <c r="C191" s="30" t="s">
        <v>313</v>
      </c>
      <c r="F191" s="32" t="e">
        <f t="shared" ref="F191:AI191" si="76">F185*(1/((1+$D$2)^F$4))</f>
        <v>#DIV/0!</v>
      </c>
      <c r="G191" s="32" t="e">
        <f t="shared" si="76"/>
        <v>#DIV/0!</v>
      </c>
      <c r="H191" s="32" t="e">
        <f t="shared" si="76"/>
        <v>#DIV/0!</v>
      </c>
      <c r="I191" s="32" t="e">
        <f t="shared" si="76"/>
        <v>#DIV/0!</v>
      </c>
      <c r="J191" s="32" t="e">
        <f t="shared" si="76"/>
        <v>#DIV/0!</v>
      </c>
      <c r="K191" s="32" t="e">
        <f t="shared" si="76"/>
        <v>#DIV/0!</v>
      </c>
      <c r="L191" s="32" t="e">
        <f t="shared" si="76"/>
        <v>#DIV/0!</v>
      </c>
      <c r="M191" s="32" t="e">
        <f t="shared" si="76"/>
        <v>#DIV/0!</v>
      </c>
      <c r="N191" s="32" t="e">
        <f t="shared" si="76"/>
        <v>#DIV/0!</v>
      </c>
      <c r="O191" s="32" t="e">
        <f t="shared" si="76"/>
        <v>#DIV/0!</v>
      </c>
      <c r="P191" s="32" t="e">
        <f t="shared" si="76"/>
        <v>#DIV/0!</v>
      </c>
      <c r="Q191" s="32" t="e">
        <f t="shared" si="76"/>
        <v>#DIV/0!</v>
      </c>
      <c r="R191" s="32" t="e">
        <f t="shared" si="76"/>
        <v>#DIV/0!</v>
      </c>
      <c r="S191" s="32" t="e">
        <f t="shared" si="76"/>
        <v>#DIV/0!</v>
      </c>
      <c r="T191" s="32" t="e">
        <f t="shared" si="76"/>
        <v>#DIV/0!</v>
      </c>
      <c r="U191" s="32" t="e">
        <f t="shared" si="76"/>
        <v>#DIV/0!</v>
      </c>
      <c r="V191" s="32" t="e">
        <f t="shared" si="76"/>
        <v>#DIV/0!</v>
      </c>
      <c r="W191" s="32" t="e">
        <f t="shared" si="76"/>
        <v>#DIV/0!</v>
      </c>
      <c r="X191" s="32" t="e">
        <f t="shared" si="76"/>
        <v>#DIV/0!</v>
      </c>
      <c r="Y191" s="32" t="e">
        <f t="shared" si="76"/>
        <v>#DIV/0!</v>
      </c>
      <c r="Z191" s="32" t="e">
        <f t="shared" si="76"/>
        <v>#DIV/0!</v>
      </c>
      <c r="AA191" s="32" t="e">
        <f t="shared" si="76"/>
        <v>#DIV/0!</v>
      </c>
      <c r="AB191" s="32" t="e">
        <f t="shared" si="76"/>
        <v>#DIV/0!</v>
      </c>
      <c r="AC191" s="32" t="e">
        <f t="shared" si="76"/>
        <v>#DIV/0!</v>
      </c>
      <c r="AD191" s="32" t="e">
        <f t="shared" si="76"/>
        <v>#DIV/0!</v>
      </c>
      <c r="AE191" s="32" t="e">
        <f t="shared" si="76"/>
        <v>#DIV/0!</v>
      </c>
      <c r="AF191" s="32" t="e">
        <f t="shared" si="76"/>
        <v>#DIV/0!</v>
      </c>
      <c r="AG191" s="32" t="e">
        <f t="shared" si="76"/>
        <v>#DIV/0!</v>
      </c>
      <c r="AH191" s="32" t="e">
        <f t="shared" si="76"/>
        <v>#DIV/0!</v>
      </c>
      <c r="AI191" s="32" t="e">
        <f t="shared" si="76"/>
        <v>#DIV/0!</v>
      </c>
      <c r="AJ191" s="66" t="e">
        <f t="shared" si="73"/>
        <v>#DIV/0!</v>
      </c>
    </row>
    <row r="193" spans="3:41" x14ac:dyDescent="0.25">
      <c r="C193" s="68" t="s">
        <v>201</v>
      </c>
      <c r="D193" s="69">
        <v>1000000</v>
      </c>
    </row>
    <row r="206" spans="3:41" x14ac:dyDescent="0.25">
      <c r="AM206" s="31"/>
      <c r="AN206" s="31"/>
      <c r="AO206" s="31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Q64"/>
  <sheetViews>
    <sheetView workbookViewId="0"/>
    <sheetView workbookViewId="1"/>
  </sheetViews>
  <sheetFormatPr defaultRowHeight="15" x14ac:dyDescent="0.25"/>
  <cols>
    <col min="3" max="3" width="12.7109375" bestFit="1" customWidth="1"/>
  </cols>
  <sheetData>
    <row r="5" spans="3:17" ht="90" x14ac:dyDescent="0.25">
      <c r="C5" s="29" t="s">
        <v>315</v>
      </c>
      <c r="D5" s="27"/>
      <c r="E5" s="29" t="s">
        <v>116</v>
      </c>
      <c r="G5" s="29" t="s">
        <v>138</v>
      </c>
      <c r="I5" s="29" t="s">
        <v>129</v>
      </c>
      <c r="K5" s="29" t="s">
        <v>121</v>
      </c>
      <c r="M5" s="51" t="s">
        <v>141</v>
      </c>
      <c r="O5" s="51" t="s">
        <v>296</v>
      </c>
      <c r="Q5" s="29" t="s">
        <v>314</v>
      </c>
    </row>
    <row r="6" spans="3:17" x14ac:dyDescent="0.25">
      <c r="C6" s="56">
        <v>0.04</v>
      </c>
      <c r="E6" s="25">
        <v>0</v>
      </c>
      <c r="G6" s="50">
        <v>1.0999999999999999E-2</v>
      </c>
      <c r="I6" s="25">
        <v>0</v>
      </c>
      <c r="K6" s="25">
        <v>0</v>
      </c>
      <c r="M6" s="25">
        <v>0</v>
      </c>
      <c r="O6" s="25">
        <v>0</v>
      </c>
      <c r="Q6">
        <v>1.2000000000000002</v>
      </c>
    </row>
    <row r="7" spans="3:17" x14ac:dyDescent="0.25">
      <c r="C7" s="56">
        <v>7.0000000000000007E-2</v>
      </c>
      <c r="E7" s="25">
        <v>0.1</v>
      </c>
      <c r="G7" s="50">
        <v>1.2E-2</v>
      </c>
      <c r="I7" s="25">
        <v>0.1</v>
      </c>
      <c r="K7" s="25">
        <v>0.1</v>
      </c>
      <c r="M7" s="25">
        <v>0.1</v>
      </c>
      <c r="O7" s="25">
        <v>0.1</v>
      </c>
      <c r="Q7" s="21">
        <v>1.3000000000000003</v>
      </c>
    </row>
    <row r="8" spans="3:17" x14ac:dyDescent="0.25">
      <c r="E8" s="25">
        <v>0.2</v>
      </c>
      <c r="G8" s="50">
        <v>1.3000000000000001E-2</v>
      </c>
      <c r="I8" s="25">
        <v>0.2</v>
      </c>
      <c r="K8" s="25">
        <v>0.2</v>
      </c>
      <c r="M8" s="25">
        <v>0.2</v>
      </c>
      <c r="O8" s="25">
        <v>0.2</v>
      </c>
      <c r="Q8" s="21">
        <v>1.4000000000000004</v>
      </c>
    </row>
    <row r="9" spans="3:17" x14ac:dyDescent="0.25">
      <c r="E9" s="25">
        <v>0.30000000000000004</v>
      </c>
      <c r="G9" s="50">
        <v>1.4000000000000002E-2</v>
      </c>
      <c r="I9" s="25">
        <v>0.30000000000000004</v>
      </c>
      <c r="K9" s="25">
        <v>0.30000000000000004</v>
      </c>
      <c r="M9" s="25">
        <v>0.30000000000000004</v>
      </c>
      <c r="O9" s="25">
        <v>0.30000000000000004</v>
      </c>
      <c r="Q9" s="21">
        <v>1.5000000000000004</v>
      </c>
    </row>
    <row r="10" spans="3:17" x14ac:dyDescent="0.25">
      <c r="E10" s="25">
        <v>0.4</v>
      </c>
      <c r="G10" s="50">
        <v>1.5000000000000003E-2</v>
      </c>
      <c r="I10" s="25">
        <v>0.4</v>
      </c>
      <c r="K10" s="25">
        <v>0.4</v>
      </c>
      <c r="M10" s="25">
        <v>0.4</v>
      </c>
      <c r="O10" s="25">
        <v>0.4</v>
      </c>
      <c r="Q10" s="21">
        <v>1.6000000000000005</v>
      </c>
    </row>
    <row r="11" spans="3:17" x14ac:dyDescent="0.25">
      <c r="E11" s="25">
        <v>0.5</v>
      </c>
      <c r="G11" s="50">
        <v>1.6000000000000004E-2</v>
      </c>
      <c r="I11" s="25">
        <v>0.5</v>
      </c>
      <c r="K11" s="25">
        <v>0.5</v>
      </c>
      <c r="M11" s="25">
        <v>0.5</v>
      </c>
      <c r="O11" s="25">
        <v>0.5</v>
      </c>
      <c r="Q11" s="21">
        <v>1.7000000000000006</v>
      </c>
    </row>
    <row r="12" spans="3:17" x14ac:dyDescent="0.25">
      <c r="E12" s="25">
        <v>0.6</v>
      </c>
      <c r="G12" s="50">
        <v>1.7000000000000005E-2</v>
      </c>
      <c r="I12" s="25">
        <v>0.6</v>
      </c>
      <c r="K12" s="25">
        <v>0.6</v>
      </c>
      <c r="M12" s="25">
        <v>0.6</v>
      </c>
      <c r="O12" s="25">
        <v>0.6</v>
      </c>
      <c r="Q12" s="21">
        <v>1.8000000000000007</v>
      </c>
    </row>
    <row r="13" spans="3:17" x14ac:dyDescent="0.25">
      <c r="E13" s="25">
        <v>0.7</v>
      </c>
      <c r="G13" s="50">
        <v>1.8000000000000006E-2</v>
      </c>
      <c r="I13" s="25">
        <v>0.7</v>
      </c>
      <c r="K13" s="25">
        <v>0.7</v>
      </c>
      <c r="M13" s="25">
        <v>0.7</v>
      </c>
      <c r="O13" s="25">
        <v>0.7</v>
      </c>
      <c r="Q13" s="21">
        <v>1.9000000000000008</v>
      </c>
    </row>
    <row r="14" spans="3:17" x14ac:dyDescent="0.25">
      <c r="E14" s="25">
        <v>0.79999999999999993</v>
      </c>
      <c r="G14" s="50">
        <v>1.9000000000000006E-2</v>
      </c>
      <c r="I14" s="25">
        <v>0.79999999999999993</v>
      </c>
      <c r="K14" s="25">
        <v>0.79999999999999993</v>
      </c>
      <c r="M14" s="25">
        <v>0.79999999999999993</v>
      </c>
      <c r="O14" s="25">
        <v>0.79999999999999993</v>
      </c>
      <c r="Q14" s="21">
        <v>2.0000000000000009</v>
      </c>
    </row>
    <row r="15" spans="3:17" x14ac:dyDescent="0.25">
      <c r="E15" s="25">
        <v>0.89999999999999991</v>
      </c>
      <c r="G15" s="50">
        <v>2.0000000000000007E-2</v>
      </c>
      <c r="I15" s="25">
        <v>0.89999999999999991</v>
      </c>
      <c r="K15" s="25">
        <v>0.89999999999999991</v>
      </c>
      <c r="M15" s="25">
        <v>0.89999999999999991</v>
      </c>
      <c r="O15" s="25">
        <v>0.89999999999999991</v>
      </c>
      <c r="Q15" s="21">
        <v>2.100000000000001</v>
      </c>
    </row>
    <row r="16" spans="3:17" x14ac:dyDescent="0.25">
      <c r="E16" s="25">
        <v>0.99999999999999989</v>
      </c>
      <c r="G16" s="50">
        <v>2.1000000000000008E-2</v>
      </c>
      <c r="I16" s="25">
        <v>0.99999999999999989</v>
      </c>
      <c r="K16" s="25">
        <v>0.99999999999999989</v>
      </c>
      <c r="M16" s="25">
        <v>0.99999999999999989</v>
      </c>
      <c r="O16" s="25">
        <v>0.99999999999999989</v>
      </c>
      <c r="Q16" s="21">
        <v>2.2000000000000011</v>
      </c>
    </row>
    <row r="17" spans="3:17" x14ac:dyDescent="0.25">
      <c r="G17" s="50">
        <v>2.2000000000000009E-2</v>
      </c>
      <c r="Q17" s="21">
        <v>2.3000000000000012</v>
      </c>
    </row>
    <row r="18" spans="3:17" x14ac:dyDescent="0.25">
      <c r="G18" s="50">
        <v>2.300000000000001E-2</v>
      </c>
      <c r="Q18" s="21">
        <v>2.4000000000000012</v>
      </c>
    </row>
    <row r="19" spans="3:17" x14ac:dyDescent="0.25">
      <c r="G19" s="50">
        <v>2.4000000000000011E-2</v>
      </c>
      <c r="Q19" s="21">
        <v>2.5000000000000013</v>
      </c>
    </row>
    <row r="20" spans="3:17" x14ac:dyDescent="0.25">
      <c r="G20" s="50">
        <v>2.5000000000000012E-2</v>
      </c>
      <c r="Q20" s="21">
        <v>2.6000000000000014</v>
      </c>
    </row>
    <row r="21" spans="3:17" x14ac:dyDescent="0.25">
      <c r="C21" s="50"/>
      <c r="G21" s="50">
        <v>2.6000000000000013E-2</v>
      </c>
      <c r="Q21" s="21">
        <v>2.7000000000000015</v>
      </c>
    </row>
    <row r="22" spans="3:17" x14ac:dyDescent="0.25">
      <c r="G22" s="50">
        <v>2.7000000000000014E-2</v>
      </c>
      <c r="Q22" s="21">
        <v>2.8000000000000016</v>
      </c>
    </row>
    <row r="23" spans="3:17" x14ac:dyDescent="0.25">
      <c r="G23" s="50">
        <v>2.8000000000000014E-2</v>
      </c>
      <c r="Q23" s="21">
        <v>2.9000000000000017</v>
      </c>
    </row>
    <row r="24" spans="3:17" x14ac:dyDescent="0.25">
      <c r="G24" s="50">
        <v>2.9000000000000015E-2</v>
      </c>
      <c r="Q24" s="21">
        <v>3.0000000000000018</v>
      </c>
    </row>
    <row r="25" spans="3:17" x14ac:dyDescent="0.25">
      <c r="G25" s="50">
        <v>3.0000000000000016E-2</v>
      </c>
      <c r="Q25" s="21">
        <v>3.1000000000000019</v>
      </c>
    </row>
    <row r="26" spans="3:17" x14ac:dyDescent="0.25">
      <c r="Q26" s="21">
        <v>3.200000000000002</v>
      </c>
    </row>
    <row r="27" spans="3:17" x14ac:dyDescent="0.25">
      <c r="Q27" s="21">
        <v>3.300000000000002</v>
      </c>
    </row>
    <row r="28" spans="3:17" x14ac:dyDescent="0.25">
      <c r="Q28" s="21">
        <v>3.4000000000000021</v>
      </c>
    </row>
    <row r="29" spans="3:17" x14ac:dyDescent="0.25">
      <c r="Q29" s="21">
        <v>3.5000000000000022</v>
      </c>
    </row>
    <row r="30" spans="3:17" x14ac:dyDescent="0.25">
      <c r="Q30" s="21">
        <v>3.6000000000000023</v>
      </c>
    </row>
    <row r="31" spans="3:17" x14ac:dyDescent="0.25">
      <c r="Q31" s="21">
        <v>3.7000000000000024</v>
      </c>
    </row>
    <row r="32" spans="3:17" x14ac:dyDescent="0.25">
      <c r="Q32" s="21">
        <v>3.8000000000000025</v>
      </c>
    </row>
    <row r="33" spans="13:17" x14ac:dyDescent="0.25">
      <c r="Q33" s="21">
        <v>3.9000000000000026</v>
      </c>
    </row>
    <row r="34" spans="13:17" x14ac:dyDescent="0.25">
      <c r="Q34" s="21">
        <v>4.0000000000000027</v>
      </c>
    </row>
    <row r="35" spans="13:17" x14ac:dyDescent="0.25">
      <c r="Q35" s="21">
        <v>4.1000000000000023</v>
      </c>
    </row>
    <row r="36" spans="13:17" x14ac:dyDescent="0.25">
      <c r="Q36" s="21">
        <v>4.200000000000002</v>
      </c>
    </row>
    <row r="37" spans="13:17" x14ac:dyDescent="0.25">
      <c r="Q37" s="21">
        <v>4.3000000000000016</v>
      </c>
    </row>
    <row r="38" spans="13:17" s="21" customFormat="1" x14ac:dyDescent="0.25">
      <c r="M38"/>
      <c r="Q38" s="21">
        <v>4.4000000000000012</v>
      </c>
    </row>
    <row r="39" spans="13:17" s="21" customFormat="1" x14ac:dyDescent="0.25">
      <c r="M39"/>
      <c r="Q39" s="21">
        <v>4.5000000000000009</v>
      </c>
    </row>
    <row r="40" spans="13:17" s="21" customFormat="1" x14ac:dyDescent="0.25">
      <c r="M40"/>
      <c r="Q40" s="21">
        <v>4.6000000000000005</v>
      </c>
    </row>
    <row r="41" spans="13:17" s="21" customFormat="1" x14ac:dyDescent="0.25">
      <c r="M41"/>
      <c r="Q41" s="21">
        <v>4.7</v>
      </c>
    </row>
    <row r="42" spans="13:17" s="21" customFormat="1" x14ac:dyDescent="0.25">
      <c r="M42"/>
      <c r="Q42" s="21">
        <v>4.8</v>
      </c>
    </row>
    <row r="43" spans="13:17" x14ac:dyDescent="0.25">
      <c r="Q43" s="21">
        <v>4.8999999999999995</v>
      </c>
    </row>
    <row r="44" spans="13:17" x14ac:dyDescent="0.25">
      <c r="Q44" s="21">
        <v>4.9999999999999991</v>
      </c>
    </row>
    <row r="45" spans="13:17" x14ac:dyDescent="0.25">
      <c r="Q45" s="21">
        <v>5.0999999999999988</v>
      </c>
    </row>
    <row r="46" spans="13:17" x14ac:dyDescent="0.25">
      <c r="Q46" s="21">
        <v>5.1999999999999984</v>
      </c>
    </row>
    <row r="47" spans="13:17" x14ac:dyDescent="0.25">
      <c r="Q47" s="21">
        <v>5.299999999999998</v>
      </c>
    </row>
    <row r="48" spans="13:17" x14ac:dyDescent="0.25">
      <c r="Q48" s="21">
        <v>5.3999999999999977</v>
      </c>
    </row>
    <row r="49" spans="17:17" x14ac:dyDescent="0.25">
      <c r="Q49" s="21">
        <v>5.4999999999999973</v>
      </c>
    </row>
    <row r="50" spans="17:17" x14ac:dyDescent="0.25">
      <c r="Q50" s="21">
        <v>5.599999999999997</v>
      </c>
    </row>
    <row r="51" spans="17:17" x14ac:dyDescent="0.25">
      <c r="Q51" s="21">
        <v>5.6999999999999966</v>
      </c>
    </row>
    <row r="52" spans="17:17" x14ac:dyDescent="0.25">
      <c r="Q52" s="21">
        <v>5.7999999999999963</v>
      </c>
    </row>
    <row r="53" spans="17:17" x14ac:dyDescent="0.25">
      <c r="Q53" s="21">
        <v>5.8999999999999959</v>
      </c>
    </row>
    <row r="54" spans="17:17" x14ac:dyDescent="0.25">
      <c r="Q54" s="21">
        <v>5.9999999999999956</v>
      </c>
    </row>
    <row r="55" spans="17:17" x14ac:dyDescent="0.25">
      <c r="Q55" s="21">
        <v>6.1</v>
      </c>
    </row>
    <row r="56" spans="17:17" x14ac:dyDescent="0.25">
      <c r="Q56" s="21">
        <v>6.2</v>
      </c>
    </row>
    <row r="57" spans="17:17" x14ac:dyDescent="0.25">
      <c r="Q57" s="21">
        <v>6.3</v>
      </c>
    </row>
    <row r="58" spans="17:17" x14ac:dyDescent="0.25">
      <c r="Q58" s="21">
        <v>6.4</v>
      </c>
    </row>
    <row r="59" spans="17:17" x14ac:dyDescent="0.25">
      <c r="Q59" s="21">
        <v>6.4999999999999902</v>
      </c>
    </row>
    <row r="60" spans="17:17" x14ac:dyDescent="0.25">
      <c r="Q60" s="21">
        <v>6.5999999999999899</v>
      </c>
    </row>
    <row r="61" spans="17:17" x14ac:dyDescent="0.25">
      <c r="Q61" s="21">
        <v>6.6999999999999904</v>
      </c>
    </row>
    <row r="62" spans="17:17" x14ac:dyDescent="0.25">
      <c r="Q62" s="21">
        <v>6.7999999999999901</v>
      </c>
    </row>
    <row r="63" spans="17:17" x14ac:dyDescent="0.25">
      <c r="Q63" s="21">
        <v>6.8999999999999897</v>
      </c>
    </row>
    <row r="64" spans="17:17" x14ac:dyDescent="0.25">
      <c r="Q64" s="21">
        <v>6.9999999999999902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8"/>
  <sheetViews>
    <sheetView workbookViewId="0"/>
    <sheetView workbookViewId="1"/>
  </sheetViews>
  <sheetFormatPr defaultRowHeight="15" x14ac:dyDescent="0.25"/>
  <cols>
    <col min="1" max="2" width="9.140625" style="21"/>
    <col min="3" max="3" width="16.42578125" style="21" bestFit="1" customWidth="1"/>
    <col min="4" max="4" width="19.7109375" style="21" bestFit="1" customWidth="1"/>
    <col min="5" max="5" width="10.5703125" style="21" bestFit="1" customWidth="1"/>
    <col min="6" max="6" width="9.140625" style="21"/>
    <col min="7" max="7" width="34.28515625" style="21" bestFit="1" customWidth="1"/>
    <col min="8" max="8" width="14.28515625" style="21" bestFit="1" customWidth="1"/>
    <col min="9" max="16384" width="9.140625" style="21"/>
  </cols>
  <sheetData>
    <row r="3" spans="3:9" x14ac:dyDescent="0.25">
      <c r="C3" s="27" t="s">
        <v>236</v>
      </c>
      <c r="D3" s="27" t="s">
        <v>237</v>
      </c>
      <c r="E3" s="27" t="s">
        <v>238</v>
      </c>
    </row>
    <row r="4" spans="3:9" x14ac:dyDescent="0.25">
      <c r="C4" s="70" t="s">
        <v>239</v>
      </c>
      <c r="D4" s="70" t="s">
        <v>240</v>
      </c>
      <c r="E4" s="76">
        <v>1</v>
      </c>
    </row>
    <row r="5" spans="3:9" x14ac:dyDescent="0.25">
      <c r="C5" s="216" t="s">
        <v>157</v>
      </c>
      <c r="D5" s="70" t="s">
        <v>241</v>
      </c>
      <c r="E5" s="76">
        <v>0.81</v>
      </c>
    </row>
    <row r="6" spans="3:9" x14ac:dyDescent="0.25">
      <c r="C6" s="216"/>
      <c r="D6" s="70" t="s">
        <v>242</v>
      </c>
      <c r="E6" s="76">
        <v>0.19</v>
      </c>
    </row>
    <row r="10" spans="3:9" x14ac:dyDescent="0.25">
      <c r="H10" s="77"/>
    </row>
    <row r="13" spans="3:9" x14ac:dyDescent="0.25">
      <c r="H13" s="77"/>
    </row>
    <row r="16" spans="3:9" x14ac:dyDescent="0.25">
      <c r="H16" s="77"/>
      <c r="I16" s="1"/>
    </row>
    <row r="17" spans="8:9" x14ac:dyDescent="0.25">
      <c r="H17" s="77"/>
      <c r="I17" s="1"/>
    </row>
    <row r="18" spans="8:9" x14ac:dyDescent="0.25">
      <c r="H18" s="77"/>
      <c r="I18" s="1"/>
    </row>
  </sheetData>
  <mergeCells count="1">
    <mergeCell ref="C5:C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E9"/>
  <sheetViews>
    <sheetView workbookViewId="0"/>
    <sheetView workbookViewId="1"/>
  </sheetViews>
  <sheetFormatPr defaultRowHeight="15" x14ac:dyDescent="0.25"/>
  <cols>
    <col min="1" max="2" width="9.140625" style="21"/>
    <col min="3" max="3" width="31.85546875" style="21" bestFit="1" customWidth="1"/>
    <col min="4" max="4" width="116.140625" style="21" bestFit="1" customWidth="1"/>
    <col min="5" max="16384" width="9.140625" style="21"/>
  </cols>
  <sheetData>
    <row r="5" spans="3:5" x14ac:dyDescent="0.25">
      <c r="C5" s="27" t="s">
        <v>140</v>
      </c>
      <c r="D5" s="27" t="s">
        <v>171</v>
      </c>
      <c r="E5" s="27" t="s">
        <v>271</v>
      </c>
    </row>
    <row r="6" spans="3:5" x14ac:dyDescent="0.25">
      <c r="C6" s="41" t="s">
        <v>272</v>
      </c>
      <c r="D6" s="41" t="s">
        <v>273</v>
      </c>
      <c r="E6" s="41" t="s">
        <v>274</v>
      </c>
    </row>
    <row r="7" spans="3:5" x14ac:dyDescent="0.25">
      <c r="C7" s="41" t="s">
        <v>275</v>
      </c>
      <c r="D7" s="21" t="s">
        <v>276</v>
      </c>
      <c r="E7" s="41" t="s">
        <v>277</v>
      </c>
    </row>
    <row r="8" spans="3:5" x14ac:dyDescent="0.25">
      <c r="C8" s="21" t="s">
        <v>278</v>
      </c>
      <c r="D8" s="21" t="s">
        <v>276</v>
      </c>
      <c r="E8" s="21" t="s">
        <v>279</v>
      </c>
    </row>
    <row r="9" spans="3:5" x14ac:dyDescent="0.25">
      <c r="C9" s="21" t="s">
        <v>280</v>
      </c>
      <c r="D9" s="21" t="s">
        <v>281</v>
      </c>
      <c r="E9" s="21" t="s">
        <v>282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K54"/>
  <sheetViews>
    <sheetView workbookViewId="0"/>
    <sheetView workbookViewId="1"/>
  </sheetViews>
  <sheetFormatPr defaultRowHeight="15" x14ac:dyDescent="0.25"/>
  <cols>
    <col min="3" max="3" width="15.42578125" bestFit="1" customWidth="1"/>
  </cols>
  <sheetData>
    <row r="5" spans="3:5" x14ac:dyDescent="0.25">
      <c r="C5" s="27" t="s">
        <v>8</v>
      </c>
      <c r="D5" s="27" t="s">
        <v>90</v>
      </c>
    </row>
    <row r="6" spans="3:5" x14ac:dyDescent="0.25">
      <c r="C6">
        <v>2</v>
      </c>
    </row>
    <row r="7" spans="3:5" x14ac:dyDescent="0.25">
      <c r="C7">
        <v>6</v>
      </c>
      <c r="D7">
        <f>C7-C6</f>
        <v>4</v>
      </c>
    </row>
    <row r="9" spans="3:5" s="21" customFormat="1" x14ac:dyDescent="0.25"/>
    <row r="10" spans="3:5" s="21" customFormat="1" x14ac:dyDescent="0.25">
      <c r="C10" s="27" t="s">
        <v>87</v>
      </c>
      <c r="D10" s="27" t="s">
        <v>89</v>
      </c>
    </row>
    <row r="11" spans="3:5" s="21" customFormat="1" x14ac:dyDescent="0.25">
      <c r="C11">
        <v>1</v>
      </c>
      <c r="D11"/>
    </row>
    <row r="12" spans="3:5" s="21" customFormat="1" x14ac:dyDescent="0.25">
      <c r="C12">
        <v>30</v>
      </c>
      <c r="D12">
        <f>C12-C11</f>
        <v>29</v>
      </c>
    </row>
    <row r="13" spans="3:5" s="21" customFormat="1" x14ac:dyDescent="0.25"/>
    <row r="14" spans="3:5" s="21" customFormat="1" ht="45" x14ac:dyDescent="0.25">
      <c r="C14" s="29" t="s">
        <v>102</v>
      </c>
      <c r="D14" s="28" t="s">
        <v>93</v>
      </c>
      <c r="E14" s="27" t="s">
        <v>94</v>
      </c>
    </row>
    <row r="15" spans="3:5" s="21" customFormat="1" x14ac:dyDescent="0.25">
      <c r="C15" s="27" t="s">
        <v>91</v>
      </c>
      <c r="D15">
        <f>D7/D12</f>
        <v>0.13793103448275862</v>
      </c>
      <c r="E15" s="21">
        <f>-D7/D12</f>
        <v>-0.13793103448275862</v>
      </c>
    </row>
    <row r="16" spans="3:5" s="21" customFormat="1" x14ac:dyDescent="0.25">
      <c r="C16" s="27" t="s">
        <v>92</v>
      </c>
      <c r="D16">
        <f>LN((C7/C6))/(C12-C11)</f>
        <v>3.7883182367865857E-2</v>
      </c>
      <c r="E16">
        <f>LN((C6/C7))/(C12-C11)</f>
        <v>-3.7883182367865857E-2</v>
      </c>
    </row>
    <row r="17" spans="3:11" s="21" customFormat="1" x14ac:dyDescent="0.25"/>
    <row r="18" spans="3:11" s="21" customFormat="1" x14ac:dyDescent="0.25"/>
    <row r="21" spans="3:11" s="21" customFormat="1" ht="30" x14ac:dyDescent="0.25">
      <c r="C21" s="29" t="s">
        <v>87</v>
      </c>
      <c r="D21" s="29" t="s">
        <v>23</v>
      </c>
      <c r="E21" s="29" t="s">
        <v>23</v>
      </c>
      <c r="F21" s="29" t="s">
        <v>23</v>
      </c>
      <c r="G21" s="29" t="s">
        <v>23</v>
      </c>
      <c r="H21" s="29"/>
      <c r="I21" s="29" t="s">
        <v>88</v>
      </c>
    </row>
    <row r="22" spans="3:11" x14ac:dyDescent="0.25">
      <c r="C22">
        <v>1</v>
      </c>
      <c r="D22">
        <v>2</v>
      </c>
      <c r="E22">
        <v>6</v>
      </c>
      <c r="F22">
        <v>2</v>
      </c>
      <c r="G22" s="21">
        <v>6</v>
      </c>
    </row>
    <row r="23" spans="3:11" x14ac:dyDescent="0.25">
      <c r="C23">
        <f>C22+1</f>
        <v>2</v>
      </c>
      <c r="D23">
        <f t="shared" ref="D23:D51" si="0">D22+(($C$7-$D$22)/($C$51-$C$22))</f>
        <v>2.1379310344827585</v>
      </c>
      <c r="E23">
        <f>E22-(($C$7-$D$22)/($C$51-$C$22))</f>
        <v>5.8620689655172411</v>
      </c>
      <c r="F23">
        <f t="shared" ref="F23:F51" si="1">$F$22*(EXP($D$16*(C23-$C$22)))</f>
        <v>2.0772197956852456</v>
      </c>
      <c r="G23" s="21">
        <f>$G$22*(EXP($E$16*(C23-$C$22)))</f>
        <v>5.7769524558383907</v>
      </c>
      <c r="I23">
        <f>(EXP($E$16*(C23-$C$22)))</f>
        <v>0.96282540930639837</v>
      </c>
    </row>
    <row r="24" spans="3:11" x14ac:dyDescent="0.25">
      <c r="C24" s="21">
        <f t="shared" ref="C24:C51" si="2">C23+1</f>
        <v>3</v>
      </c>
      <c r="D24" s="21">
        <f t="shared" si="0"/>
        <v>2.2758620689655169</v>
      </c>
      <c r="E24" s="21">
        <f t="shared" ref="E24:E51" si="3">E23-(($C$7-$D$22)/($C$51-$C$22))</f>
        <v>5.7241379310344822</v>
      </c>
      <c r="F24" s="21">
        <f t="shared" si="1"/>
        <v>2.1574210397933271</v>
      </c>
      <c r="G24" s="21">
        <f t="shared" ref="G24:G51" si="4">$G$22*(EXP($E$16*(C24-$C$22)))</f>
        <v>5.5621966128362024</v>
      </c>
      <c r="I24" s="21">
        <f t="shared" ref="I24:I51" si="5">(EXP($E$16*(C24-$C$22)))</f>
        <v>0.92703276880603369</v>
      </c>
      <c r="K24" s="21"/>
    </row>
    <row r="25" spans="3:11" x14ac:dyDescent="0.25">
      <c r="C25" s="21">
        <f t="shared" si="2"/>
        <v>4</v>
      </c>
      <c r="D25" s="21">
        <f t="shared" si="0"/>
        <v>2.4137931034482754</v>
      </c>
      <c r="E25" s="21">
        <f t="shared" si="3"/>
        <v>5.5862068965517233</v>
      </c>
      <c r="F25" s="21">
        <f t="shared" si="1"/>
        <v>2.2407188457432725</v>
      </c>
      <c r="G25" s="21">
        <f t="shared" si="4"/>
        <v>5.3554242303966788</v>
      </c>
      <c r="I25" s="21">
        <f t="shared" si="5"/>
        <v>0.89257070506611313</v>
      </c>
      <c r="K25" s="21"/>
    </row>
    <row r="26" spans="3:11" x14ac:dyDescent="0.25">
      <c r="C26" s="21">
        <f t="shared" si="2"/>
        <v>5</v>
      </c>
      <c r="D26" s="21">
        <f t="shared" si="0"/>
        <v>2.5517241379310338</v>
      </c>
      <c r="E26" s="21">
        <f t="shared" si="3"/>
        <v>5.4482758620689644</v>
      </c>
      <c r="F26" s="21">
        <f t="shared" si="1"/>
        <v>2.32723277147146</v>
      </c>
      <c r="G26" s="21">
        <f t="shared" si="4"/>
        <v>5.1563385266410862</v>
      </c>
      <c r="I26" s="21">
        <f t="shared" si="5"/>
        <v>0.85938975444018106</v>
      </c>
      <c r="K26" s="21"/>
    </row>
    <row r="27" spans="3:11" x14ac:dyDescent="0.25">
      <c r="C27" s="21">
        <f t="shared" si="2"/>
        <v>6</v>
      </c>
      <c r="D27" s="21">
        <f t="shared" si="0"/>
        <v>2.6896551724137923</v>
      </c>
      <c r="E27" s="21">
        <f t="shared" si="3"/>
        <v>5.3103448275862055</v>
      </c>
      <c r="F27" s="21">
        <f t="shared" si="1"/>
        <v>2.4170869910339774</v>
      </c>
      <c r="G27" s="21">
        <f t="shared" si="4"/>
        <v>4.964653752435555</v>
      </c>
      <c r="I27" s="21">
        <f t="shared" si="5"/>
        <v>0.82744229207259246</v>
      </c>
      <c r="K27" s="21"/>
    </row>
    <row r="28" spans="3:11" x14ac:dyDescent="0.25">
      <c r="C28" s="21">
        <f t="shared" si="2"/>
        <v>7</v>
      </c>
      <c r="D28" s="21">
        <f t="shared" si="0"/>
        <v>2.8275862068965507</v>
      </c>
      <c r="E28" s="21">
        <f t="shared" si="3"/>
        <v>5.1724137931034466</v>
      </c>
      <c r="F28" s="21">
        <f t="shared" si="1"/>
        <v>2.5104104728345318</v>
      </c>
      <c r="G28" s="21">
        <f t="shared" si="4"/>
        <v>4.7800947812533101</v>
      </c>
      <c r="I28" s="21">
        <f t="shared" si="5"/>
        <v>0.79668246354221839</v>
      </c>
      <c r="K28" s="21"/>
    </row>
    <row r="29" spans="3:11" x14ac:dyDescent="0.25">
      <c r="C29" s="21">
        <f t="shared" si="2"/>
        <v>8</v>
      </c>
      <c r="D29" s="21">
        <f t="shared" si="0"/>
        <v>2.9655172413793092</v>
      </c>
      <c r="E29" s="21">
        <f t="shared" si="3"/>
        <v>5.0344827586206877</v>
      </c>
      <c r="F29" s="21">
        <f t="shared" si="1"/>
        <v>2.6073371647337238</v>
      </c>
      <c r="G29" s="21">
        <f t="shared" si="4"/>
        <v>4.6023967142835973</v>
      </c>
      <c r="I29" s="21">
        <f t="shared" si="5"/>
        <v>0.76706611904726618</v>
      </c>
    </row>
    <row r="30" spans="3:11" x14ac:dyDescent="0.25">
      <c r="C30" s="21">
        <f t="shared" si="2"/>
        <v>9</v>
      </c>
      <c r="D30" s="21">
        <f t="shared" si="0"/>
        <v>3.1034482758620676</v>
      </c>
      <c r="E30" s="21">
        <f t="shared" si="3"/>
        <v>4.8965517241379288</v>
      </c>
      <c r="F30" s="21">
        <f t="shared" si="1"/>
        <v>2.7080061863053668</v>
      </c>
      <c r="G30" s="21">
        <f t="shared" si="4"/>
        <v>4.431304500220528</v>
      </c>
      <c r="I30" s="21">
        <f t="shared" si="5"/>
        <v>0.73855075003675463</v>
      </c>
    </row>
    <row r="31" spans="3:11" x14ac:dyDescent="0.25">
      <c r="C31" s="21">
        <f t="shared" si="2"/>
        <v>10</v>
      </c>
      <c r="D31" s="21">
        <f t="shared" si="0"/>
        <v>3.2413793103448261</v>
      </c>
      <c r="E31" s="21">
        <f t="shared" si="3"/>
        <v>4.7586206896551699</v>
      </c>
      <c r="F31" s="21">
        <f t="shared" si="1"/>
        <v>2.8125620285158077</v>
      </c>
      <c r="G31" s="21">
        <f t="shared" si="4"/>
        <v>4.2665725691861152</v>
      </c>
      <c r="I31" s="21">
        <f t="shared" si="5"/>
        <v>0.71109542819768579</v>
      </c>
    </row>
    <row r="32" spans="3:11" x14ac:dyDescent="0.25">
      <c r="C32" s="21">
        <f t="shared" si="2"/>
        <v>11</v>
      </c>
      <c r="D32" s="21">
        <f t="shared" si="0"/>
        <v>3.3793103448275845</v>
      </c>
      <c r="E32" s="21">
        <f t="shared" si="3"/>
        <v>4.620689655172411</v>
      </c>
      <c r="F32" s="21">
        <f t="shared" si="1"/>
        <v>2.921154761112843</v>
      </c>
      <c r="G32" s="21">
        <f t="shared" si="4"/>
        <v>4.1079644802620727</v>
      </c>
      <c r="I32" s="21">
        <f t="shared" si="5"/>
        <v>0.68466074671034549</v>
      </c>
    </row>
    <row r="33" spans="3:9" x14ac:dyDescent="0.25">
      <c r="C33" s="21">
        <f t="shared" si="2"/>
        <v>12</v>
      </c>
      <c r="D33" s="21">
        <f t="shared" si="0"/>
        <v>3.517241379310343</v>
      </c>
      <c r="E33" s="21">
        <f t="shared" si="3"/>
        <v>4.4827586206896521</v>
      </c>
      <c r="F33" s="21">
        <f t="shared" si="1"/>
        <v>3.0339402480219015</v>
      </c>
      <c r="G33" s="21">
        <f t="shared" si="4"/>
        <v>3.9552525821244764</v>
      </c>
      <c r="I33" s="21">
        <f t="shared" si="5"/>
        <v>0.65920876368741277</v>
      </c>
    </row>
    <row r="34" spans="3:9" x14ac:dyDescent="0.25">
      <c r="C34" s="21">
        <f t="shared" si="2"/>
        <v>13</v>
      </c>
      <c r="D34" s="21">
        <f t="shared" si="0"/>
        <v>3.6551724137931014</v>
      </c>
      <c r="E34" s="21">
        <f t="shared" si="3"/>
        <v>4.3448275862068932</v>
      </c>
      <c r="F34" s="21">
        <f t="shared" si="1"/>
        <v>3.1510803710586486</v>
      </c>
      <c r="G34" s="21">
        <f t="shared" si="4"/>
        <v>3.8082176862941886</v>
      </c>
      <c r="I34" s="21">
        <f t="shared" si="5"/>
        <v>0.63470294771569813</v>
      </c>
    </row>
    <row r="35" spans="3:9" x14ac:dyDescent="0.25">
      <c r="C35" s="21">
        <f t="shared" si="2"/>
        <v>14</v>
      </c>
      <c r="D35" s="21">
        <f t="shared" si="0"/>
        <v>3.7931034482758599</v>
      </c>
      <c r="E35" s="21">
        <f t="shared" si="3"/>
        <v>4.2068965517241343</v>
      </c>
      <c r="F35" s="21">
        <f t="shared" si="1"/>
        <v>3.2727432622791173</v>
      </c>
      <c r="G35" s="21">
        <f t="shared" si="4"/>
        <v>3.6666487525340674</v>
      </c>
      <c r="I35" s="21">
        <f t="shared" si="5"/>
        <v>0.61110812542234461</v>
      </c>
    </row>
    <row r="36" spans="3:9" x14ac:dyDescent="0.25">
      <c r="C36" s="21">
        <f t="shared" si="2"/>
        <v>15</v>
      </c>
      <c r="D36" s="21">
        <f t="shared" si="0"/>
        <v>3.9310344827586183</v>
      </c>
      <c r="E36" s="21">
        <f t="shared" si="3"/>
        <v>4.0689655172413755</v>
      </c>
      <c r="F36" s="21">
        <f t="shared" si="1"/>
        <v>3.3991035453008465</v>
      </c>
      <c r="G36" s="21">
        <f t="shared" si="4"/>
        <v>3.5303425859414088</v>
      </c>
      <c r="I36" s="21">
        <f t="shared" si="5"/>
        <v>0.5883904309902348</v>
      </c>
    </row>
    <row r="37" spans="3:9" x14ac:dyDescent="0.25">
      <c r="C37" s="21">
        <f t="shared" si="2"/>
        <v>16</v>
      </c>
      <c r="D37" s="21">
        <f t="shared" si="0"/>
        <v>4.0689655172413772</v>
      </c>
      <c r="E37" s="21">
        <f t="shared" si="3"/>
        <v>3.931034482758617</v>
      </c>
      <c r="F37" s="21">
        <f t="shared" si="1"/>
        <v>3.5303425859414093</v>
      </c>
      <c r="G37" s="21">
        <f t="shared" si="4"/>
        <v>3.3991035453008456</v>
      </c>
      <c r="I37" s="21">
        <f t="shared" si="5"/>
        <v>0.56651725755014093</v>
      </c>
    </row>
    <row r="38" spans="3:9" x14ac:dyDescent="0.25">
      <c r="C38" s="21">
        <f t="shared" si="2"/>
        <v>17</v>
      </c>
      <c r="D38" s="21">
        <f t="shared" si="0"/>
        <v>4.2068965517241361</v>
      </c>
      <c r="E38" s="21">
        <f t="shared" si="3"/>
        <v>3.7931034482758585</v>
      </c>
      <c r="F38" s="21">
        <f t="shared" si="1"/>
        <v>3.6666487525340679</v>
      </c>
      <c r="G38" s="21">
        <f t="shared" si="4"/>
        <v>3.2727432622791168</v>
      </c>
      <c r="I38" s="21">
        <f t="shared" si="5"/>
        <v>0.54545721037985284</v>
      </c>
    </row>
    <row r="39" spans="3:9" x14ac:dyDescent="0.25">
      <c r="C39" s="21">
        <f t="shared" si="2"/>
        <v>18</v>
      </c>
      <c r="D39" s="21">
        <f t="shared" si="0"/>
        <v>4.344827586206895</v>
      </c>
      <c r="E39" s="21">
        <f t="shared" si="3"/>
        <v>3.6551724137931001</v>
      </c>
      <c r="F39" s="21">
        <f t="shared" si="1"/>
        <v>3.808217686294189</v>
      </c>
      <c r="G39" s="21">
        <f t="shared" si="4"/>
        <v>3.1510803710586481</v>
      </c>
      <c r="I39" s="21">
        <f t="shared" si="5"/>
        <v>0.52518006184310806</v>
      </c>
    </row>
    <row r="40" spans="3:9" x14ac:dyDescent="0.25">
      <c r="C40" s="21">
        <f t="shared" si="2"/>
        <v>19</v>
      </c>
      <c r="D40" s="21">
        <f t="shared" si="0"/>
        <v>4.4827586206896539</v>
      </c>
      <c r="E40" s="21">
        <f t="shared" si="3"/>
        <v>3.5172413793103416</v>
      </c>
      <c r="F40" s="21">
        <f t="shared" si="1"/>
        <v>3.9552525821244773</v>
      </c>
      <c r="G40" s="21">
        <f t="shared" si="4"/>
        <v>3.0339402480219011</v>
      </c>
      <c r="I40" s="21">
        <f t="shared" si="5"/>
        <v>0.50565670800365015</v>
      </c>
    </row>
    <row r="41" spans="3:9" x14ac:dyDescent="0.25">
      <c r="C41" s="21">
        <f t="shared" si="2"/>
        <v>20</v>
      </c>
      <c r="D41" s="21">
        <f t="shared" si="0"/>
        <v>4.6206896551724128</v>
      </c>
      <c r="E41" s="21">
        <f t="shared" si="3"/>
        <v>3.3793103448275832</v>
      </c>
      <c r="F41" s="21">
        <f t="shared" si="1"/>
        <v>4.1079644802620736</v>
      </c>
      <c r="G41" s="21">
        <f t="shared" si="4"/>
        <v>2.9211547611128426</v>
      </c>
      <c r="I41" s="21">
        <f t="shared" si="5"/>
        <v>0.48685912685214044</v>
      </c>
    </row>
    <row r="42" spans="3:9" x14ac:dyDescent="0.25">
      <c r="C42" s="21">
        <f t="shared" si="2"/>
        <v>21</v>
      </c>
      <c r="D42" s="21">
        <f t="shared" si="0"/>
        <v>4.7586206896551717</v>
      </c>
      <c r="E42" s="21">
        <f t="shared" si="3"/>
        <v>3.2413793103448247</v>
      </c>
      <c r="F42" s="21">
        <f t="shared" si="1"/>
        <v>4.266572569186116</v>
      </c>
      <c r="G42" s="21">
        <f t="shared" si="4"/>
        <v>2.8125620285158073</v>
      </c>
      <c r="I42" s="21">
        <f t="shared" si="5"/>
        <v>0.46876033808596784</v>
      </c>
    </row>
    <row r="43" spans="3:9" x14ac:dyDescent="0.25">
      <c r="C43" s="21">
        <f t="shared" si="2"/>
        <v>22</v>
      </c>
      <c r="D43" s="21">
        <f t="shared" si="0"/>
        <v>4.8965517241379306</v>
      </c>
      <c r="E43" s="21">
        <f t="shared" si="3"/>
        <v>3.1034482758620663</v>
      </c>
      <c r="F43" s="21">
        <f t="shared" si="1"/>
        <v>4.431304500220528</v>
      </c>
      <c r="G43" s="21">
        <f t="shared" si="4"/>
        <v>2.7080061863053659</v>
      </c>
      <c r="I43" s="21">
        <f t="shared" si="5"/>
        <v>0.45133436438422769</v>
      </c>
    </row>
    <row r="44" spans="3:9" x14ac:dyDescent="0.25">
      <c r="C44" s="21">
        <f t="shared" si="2"/>
        <v>23</v>
      </c>
      <c r="D44" s="21">
        <f t="shared" si="0"/>
        <v>5.0344827586206895</v>
      </c>
      <c r="E44" s="21">
        <f t="shared" si="3"/>
        <v>2.9655172413793078</v>
      </c>
      <c r="F44" s="21">
        <f t="shared" si="1"/>
        <v>4.6023967142835982</v>
      </c>
      <c r="G44" s="21">
        <f t="shared" si="4"/>
        <v>2.6073371647337229</v>
      </c>
      <c r="I44" s="21">
        <f t="shared" si="5"/>
        <v>0.43455619412228719</v>
      </c>
    </row>
    <row r="45" spans="3:9" x14ac:dyDescent="0.25">
      <c r="C45" s="21">
        <f t="shared" si="2"/>
        <v>24</v>
      </c>
      <c r="D45" s="21">
        <f t="shared" si="0"/>
        <v>5.1724137931034484</v>
      </c>
      <c r="E45" s="21">
        <f t="shared" si="3"/>
        <v>2.8275862068965494</v>
      </c>
      <c r="F45" s="21">
        <f t="shared" si="1"/>
        <v>4.780094781253311</v>
      </c>
      <c r="G45" s="21">
        <f t="shared" si="4"/>
        <v>2.5104104728345318</v>
      </c>
      <c r="I45" s="21">
        <f t="shared" si="5"/>
        <v>0.41840174547242193</v>
      </c>
    </row>
    <row r="46" spans="3:9" x14ac:dyDescent="0.25">
      <c r="C46" s="21">
        <f t="shared" si="2"/>
        <v>25</v>
      </c>
      <c r="D46" s="21">
        <f t="shared" si="0"/>
        <v>5.3103448275862073</v>
      </c>
      <c r="E46" s="21">
        <f t="shared" si="3"/>
        <v>2.6896551724137909</v>
      </c>
      <c r="F46" s="21">
        <f t="shared" si="1"/>
        <v>4.9646537524355558</v>
      </c>
      <c r="G46" s="21">
        <f t="shared" si="4"/>
        <v>2.417086991033977</v>
      </c>
      <c r="I46" s="21">
        <f t="shared" si="5"/>
        <v>0.40284783183899614</v>
      </c>
    </row>
    <row r="47" spans="3:9" x14ac:dyDescent="0.25">
      <c r="C47" s="21">
        <f t="shared" si="2"/>
        <v>26</v>
      </c>
      <c r="D47" s="21">
        <f t="shared" si="0"/>
        <v>5.4482758620689662</v>
      </c>
      <c r="E47" s="21">
        <f t="shared" si="3"/>
        <v>2.5517241379310325</v>
      </c>
      <c r="F47" s="21">
        <f t="shared" si="1"/>
        <v>5.156338526641087</v>
      </c>
      <c r="G47" s="21">
        <f t="shared" si="4"/>
        <v>2.3272327714714596</v>
      </c>
      <c r="I47" s="21">
        <f t="shared" si="5"/>
        <v>0.38787212857857661</v>
      </c>
    </row>
    <row r="48" spans="3:9" x14ac:dyDescent="0.25">
      <c r="C48" s="21">
        <f t="shared" si="2"/>
        <v>27</v>
      </c>
      <c r="D48" s="21">
        <f t="shared" si="0"/>
        <v>5.5862068965517251</v>
      </c>
      <c r="E48" s="21">
        <f t="shared" si="3"/>
        <v>2.413793103448274</v>
      </c>
      <c r="F48" s="21">
        <f t="shared" si="1"/>
        <v>5.3554242303966797</v>
      </c>
      <c r="G48" s="21">
        <f t="shared" si="4"/>
        <v>2.2407188457432721</v>
      </c>
      <c r="I48" s="21">
        <f t="shared" si="5"/>
        <v>0.37345314095721205</v>
      </c>
    </row>
    <row r="49" spans="3:9" x14ac:dyDescent="0.25">
      <c r="C49" s="21">
        <f t="shared" si="2"/>
        <v>28</v>
      </c>
      <c r="D49" s="21">
        <f t="shared" si="0"/>
        <v>5.724137931034484</v>
      </c>
      <c r="E49" s="21">
        <f t="shared" si="3"/>
        <v>2.2758620689655156</v>
      </c>
      <c r="F49" s="21">
        <f t="shared" si="1"/>
        <v>5.5621966128362033</v>
      </c>
      <c r="G49" s="21">
        <f t="shared" si="4"/>
        <v>2.1574210397933262</v>
      </c>
      <c r="I49" s="21">
        <f t="shared" si="5"/>
        <v>0.35957017329888774</v>
      </c>
    </row>
    <row r="50" spans="3:9" x14ac:dyDescent="0.25">
      <c r="C50" s="21">
        <f t="shared" si="2"/>
        <v>29</v>
      </c>
      <c r="D50" s="21">
        <f t="shared" si="0"/>
        <v>5.8620689655172429</v>
      </c>
      <c r="E50" s="21">
        <f t="shared" si="3"/>
        <v>2.1379310344827571</v>
      </c>
      <c r="F50" s="21">
        <f t="shared" si="1"/>
        <v>5.7769524558383916</v>
      </c>
      <c r="G50" s="21">
        <f t="shared" si="4"/>
        <v>2.0772197956852452</v>
      </c>
      <c r="I50" s="21">
        <f t="shared" si="5"/>
        <v>0.34620329928087423</v>
      </c>
    </row>
    <row r="51" spans="3:9" x14ac:dyDescent="0.25">
      <c r="C51" s="21">
        <f t="shared" si="2"/>
        <v>30</v>
      </c>
      <c r="D51" s="21">
        <f t="shared" si="0"/>
        <v>6.0000000000000018</v>
      </c>
      <c r="E51" s="21">
        <f t="shared" si="3"/>
        <v>1.9999999999999984</v>
      </c>
      <c r="F51" s="21">
        <f t="shared" si="1"/>
        <v>6.0000000000000009</v>
      </c>
      <c r="G51" s="21">
        <f t="shared" si="4"/>
        <v>2</v>
      </c>
      <c r="I51" s="21">
        <f t="shared" si="5"/>
        <v>0.33333333333333331</v>
      </c>
    </row>
    <row r="52" spans="3:9" x14ac:dyDescent="0.25">
      <c r="C52" s="21"/>
      <c r="D52" s="21"/>
      <c r="E52" s="21"/>
      <c r="F52" s="21"/>
      <c r="G52" s="21"/>
      <c r="I52" s="21"/>
    </row>
    <row r="53" spans="3:9" x14ac:dyDescent="0.25">
      <c r="C53" s="21"/>
      <c r="D53" s="21"/>
      <c r="E53" s="21"/>
      <c r="F53" s="21"/>
      <c r="G53" s="21"/>
      <c r="I53" s="21"/>
    </row>
    <row r="54" spans="3:9" x14ac:dyDescent="0.25">
      <c r="C54" s="21"/>
      <c r="D54" s="21"/>
      <c r="E54" s="21"/>
      <c r="F54" s="21"/>
      <c r="G54" s="21"/>
      <c r="I54" s="21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4"/>
  <sheetViews>
    <sheetView workbookViewId="0"/>
    <sheetView workbookViewId="1"/>
  </sheetViews>
  <sheetFormatPr defaultRowHeight="15" x14ac:dyDescent="0.25"/>
  <cols>
    <col min="1" max="1" width="31.85546875" customWidth="1"/>
    <col min="3" max="3" width="11" customWidth="1"/>
    <col min="5" max="5" width="12" bestFit="1" customWidth="1"/>
    <col min="6" max="6" width="10" bestFit="1" customWidth="1"/>
    <col min="8" max="8" width="10" bestFit="1" customWidth="1"/>
  </cols>
  <sheetData>
    <row r="1" spans="1:13" x14ac:dyDescent="0.25">
      <c r="A1" t="s">
        <v>18</v>
      </c>
    </row>
    <row r="2" spans="1:13" x14ac:dyDescent="0.25">
      <c r="A2" t="s">
        <v>19</v>
      </c>
    </row>
    <row r="4" spans="1:13" x14ac:dyDescent="0.25">
      <c r="C4" t="s">
        <v>0</v>
      </c>
      <c r="M4" s="34" t="s">
        <v>84</v>
      </c>
    </row>
    <row r="6" spans="1:13" x14ac:dyDescent="0.25">
      <c r="C6" t="s">
        <v>7</v>
      </c>
      <c r="D6" t="s">
        <v>1</v>
      </c>
      <c r="E6" t="s">
        <v>2</v>
      </c>
      <c r="F6" t="s">
        <v>3</v>
      </c>
      <c r="G6" t="s">
        <v>4</v>
      </c>
      <c r="H6" t="s">
        <v>5</v>
      </c>
      <c r="I6" t="s">
        <v>6</v>
      </c>
      <c r="J6" t="s">
        <v>10</v>
      </c>
    </row>
    <row r="7" spans="1:13" x14ac:dyDescent="0.25">
      <c r="A7" t="s">
        <v>20</v>
      </c>
      <c r="C7">
        <v>28.586790000000001</v>
      </c>
      <c r="D7">
        <v>0.68912899999999999</v>
      </c>
      <c r="E7">
        <v>10.27355</v>
      </c>
      <c r="F7">
        <v>1.43E-5</v>
      </c>
      <c r="G7">
        <v>2.7139E-2</v>
      </c>
      <c r="H7">
        <v>9.4499999999999998E-4</v>
      </c>
      <c r="I7">
        <v>3.0450999999999999E-2</v>
      </c>
      <c r="J7">
        <v>1.4</v>
      </c>
    </row>
    <row r="10" spans="1:13" x14ac:dyDescent="0.25">
      <c r="B10" s="34" t="s">
        <v>85</v>
      </c>
    </row>
    <row r="11" spans="1:13" x14ac:dyDescent="0.25">
      <c r="A11" t="s">
        <v>21</v>
      </c>
    </row>
    <row r="12" spans="1:13" x14ac:dyDescent="0.25">
      <c r="A12" t="s">
        <v>22</v>
      </c>
      <c r="B12">
        <v>60</v>
      </c>
    </row>
    <row r="13" spans="1:13" x14ac:dyDescent="0.25">
      <c r="A13" t="s">
        <v>23</v>
      </c>
      <c r="B13">
        <v>6</v>
      </c>
    </row>
    <row r="14" spans="1:13" x14ac:dyDescent="0.25">
      <c r="A14" t="s">
        <v>24</v>
      </c>
      <c r="B14">
        <f>C7*((D7+(E7/B12)+(F7*(B12^2)))+(G7*B13)+(H7*(B13^2))+(I7*J7))</f>
        <v>32.912549733050994</v>
      </c>
    </row>
    <row r="16" spans="1:13" x14ac:dyDescent="0.25">
      <c r="A16" t="s">
        <v>25</v>
      </c>
    </row>
    <row r="17" spans="1:37" x14ac:dyDescent="0.25">
      <c r="A17" t="s">
        <v>22</v>
      </c>
      <c r="B17">
        <v>80</v>
      </c>
    </row>
    <row r="18" spans="1:37" x14ac:dyDescent="0.25">
      <c r="A18" t="s">
        <v>23</v>
      </c>
      <c r="B18">
        <v>2</v>
      </c>
    </row>
    <row r="19" spans="1:37" x14ac:dyDescent="0.25">
      <c r="A19" t="s">
        <v>26</v>
      </c>
      <c r="B19">
        <f>C7*((D7+(E7/B17)+(F7*(B17^2)))+(G7*B18)+(H7*(B18^2))+(I7*J7))</f>
        <v>28.865733464792257</v>
      </c>
    </row>
    <row r="21" spans="1:37" s="21" customFormat="1" x14ac:dyDescent="0.25">
      <c r="A21" t="s">
        <v>72</v>
      </c>
      <c r="B21">
        <f>B14-B19</f>
        <v>4.0468162682587376</v>
      </c>
    </row>
    <row r="23" spans="1:37" s="21" customFormat="1" x14ac:dyDescent="0.25">
      <c r="A23" s="21" t="s">
        <v>99</v>
      </c>
    </row>
    <row r="24" spans="1:37" x14ac:dyDescent="0.25">
      <c r="A24" s="21" t="s">
        <v>96</v>
      </c>
      <c r="B24">
        <v>5</v>
      </c>
    </row>
    <row r="25" spans="1:37" s="21" customFormat="1" x14ac:dyDescent="0.25">
      <c r="A25" s="21" t="s">
        <v>97</v>
      </c>
      <c r="B25" s="21">
        <v>800</v>
      </c>
    </row>
    <row r="26" spans="1:37" s="21" customFormat="1" x14ac:dyDescent="0.25">
      <c r="A26" s="21" t="s">
        <v>98</v>
      </c>
      <c r="B26" s="25">
        <v>0.02</v>
      </c>
    </row>
    <row r="27" spans="1:37" s="21" customFormat="1" x14ac:dyDescent="0.25">
      <c r="A27" s="21" t="s">
        <v>101</v>
      </c>
      <c r="B27" s="25">
        <v>7.0000000000000007E-2</v>
      </c>
    </row>
    <row r="28" spans="1:37" s="21" customFormat="1" x14ac:dyDescent="0.25"/>
    <row r="29" spans="1:37" s="21" customFormat="1" x14ac:dyDescent="0.25"/>
    <row r="31" spans="1:37" x14ac:dyDescent="0.25">
      <c r="A31" t="s">
        <v>86</v>
      </c>
      <c r="B31">
        <v>1</v>
      </c>
      <c r="C31">
        <f>B31+1</f>
        <v>2</v>
      </c>
      <c r="D31" s="21">
        <f t="shared" ref="D31:AE31" si="0">C31+1</f>
        <v>3</v>
      </c>
      <c r="E31" s="21">
        <f t="shared" si="0"/>
        <v>4</v>
      </c>
      <c r="F31" s="21">
        <f t="shared" si="0"/>
        <v>5</v>
      </c>
      <c r="G31" s="21">
        <f t="shared" si="0"/>
        <v>6</v>
      </c>
      <c r="H31" s="21">
        <f t="shared" si="0"/>
        <v>7</v>
      </c>
      <c r="I31" s="21">
        <f t="shared" si="0"/>
        <v>8</v>
      </c>
      <c r="J31" s="21">
        <f t="shared" si="0"/>
        <v>9</v>
      </c>
      <c r="K31" s="21">
        <f t="shared" si="0"/>
        <v>10</v>
      </c>
      <c r="L31" s="21">
        <f t="shared" si="0"/>
        <v>11</v>
      </c>
      <c r="M31" s="21">
        <f t="shared" si="0"/>
        <v>12</v>
      </c>
      <c r="N31" s="21">
        <f t="shared" si="0"/>
        <v>13</v>
      </c>
      <c r="O31" s="21">
        <f t="shared" si="0"/>
        <v>14</v>
      </c>
      <c r="P31" s="21">
        <f t="shared" si="0"/>
        <v>15</v>
      </c>
      <c r="Q31" s="21">
        <f t="shared" si="0"/>
        <v>16</v>
      </c>
      <c r="R31" s="21">
        <f t="shared" si="0"/>
        <v>17</v>
      </c>
      <c r="S31" s="21">
        <f t="shared" si="0"/>
        <v>18</v>
      </c>
      <c r="T31" s="21">
        <f t="shared" si="0"/>
        <v>19</v>
      </c>
      <c r="U31" s="21">
        <f t="shared" si="0"/>
        <v>20</v>
      </c>
      <c r="V31" s="21">
        <f t="shared" si="0"/>
        <v>21</v>
      </c>
      <c r="W31" s="21">
        <f t="shared" si="0"/>
        <v>22</v>
      </c>
      <c r="X31" s="21">
        <f t="shared" si="0"/>
        <v>23</v>
      </c>
      <c r="Y31" s="21">
        <f t="shared" si="0"/>
        <v>24</v>
      </c>
      <c r="Z31" s="21">
        <f t="shared" si="0"/>
        <v>25</v>
      </c>
      <c r="AA31" s="21">
        <f t="shared" si="0"/>
        <v>26</v>
      </c>
      <c r="AB31" s="21">
        <f t="shared" si="0"/>
        <v>27</v>
      </c>
      <c r="AC31" s="21">
        <f t="shared" si="0"/>
        <v>28</v>
      </c>
      <c r="AD31" s="21">
        <f t="shared" si="0"/>
        <v>29</v>
      </c>
      <c r="AE31" s="21">
        <f t="shared" si="0"/>
        <v>30</v>
      </c>
      <c r="AF31" s="21"/>
      <c r="AG31" s="21"/>
      <c r="AH31" s="21"/>
      <c r="AI31" s="21"/>
      <c r="AJ31" s="21"/>
      <c r="AK31" s="21"/>
    </row>
    <row r="32" spans="1:37" x14ac:dyDescent="0.25">
      <c r="A32" t="s">
        <v>95</v>
      </c>
      <c r="B32">
        <v>1</v>
      </c>
      <c r="C32">
        <f>'VOC - IRI change over time'!I23</f>
        <v>0.96282540930639837</v>
      </c>
      <c r="D32" s="21">
        <f>'VOC - IRI change over time'!I24</f>
        <v>0.92703276880603369</v>
      </c>
      <c r="E32" s="21">
        <f>'VOC - IRI change over time'!I25</f>
        <v>0.89257070506611313</v>
      </c>
      <c r="F32" s="21">
        <f>'VOC - IRI change over time'!I26</f>
        <v>0.85938975444018106</v>
      </c>
      <c r="G32" s="21">
        <f>'VOC - IRI change over time'!I27</f>
        <v>0.82744229207259246</v>
      </c>
      <c r="H32" s="21">
        <f>'VOC - IRI change over time'!I28</f>
        <v>0.79668246354221839</v>
      </c>
      <c r="I32" s="21">
        <f>'VOC - IRI change over time'!I29</f>
        <v>0.76706611904726618</v>
      </c>
      <c r="J32" s="21">
        <f>'VOC - IRI change over time'!I30</f>
        <v>0.73855075003675463</v>
      </c>
      <c r="K32" s="21">
        <f>'VOC - IRI change over time'!I31</f>
        <v>0.71109542819768579</v>
      </c>
      <c r="L32" s="21">
        <f>'VOC - IRI change over time'!I32</f>
        <v>0.68466074671034549</v>
      </c>
      <c r="M32" s="21">
        <f>'VOC - IRI change over time'!I33</f>
        <v>0.65920876368741277</v>
      </c>
      <c r="N32" s="21">
        <f>'VOC - IRI change over time'!I34</f>
        <v>0.63470294771569813</v>
      </c>
      <c r="O32" s="21">
        <f>'VOC - IRI change over time'!I35</f>
        <v>0.61110812542234461</v>
      </c>
      <c r="P32" s="21">
        <f>'VOC - IRI change over time'!I36</f>
        <v>0.5883904309902348</v>
      </c>
      <c r="Q32" s="21">
        <f>'VOC - IRI change over time'!I37</f>
        <v>0.56651725755014093</v>
      </c>
      <c r="R32" s="21">
        <f>'VOC - IRI change over time'!I38</f>
        <v>0.54545721037985284</v>
      </c>
      <c r="S32" s="21">
        <f>'VOC - IRI change over time'!I39</f>
        <v>0.52518006184310806</v>
      </c>
      <c r="T32" s="21">
        <f>'VOC - IRI change over time'!I40</f>
        <v>0.50565670800365015</v>
      </c>
      <c r="U32" s="21">
        <f>'VOC - IRI change over time'!I41</f>
        <v>0.48685912685214044</v>
      </c>
      <c r="V32" s="21">
        <f>'VOC - IRI change over time'!I42</f>
        <v>0.46876033808596784</v>
      </c>
      <c r="W32" s="21">
        <f>'VOC - IRI change over time'!I43</f>
        <v>0.45133436438422769</v>
      </c>
      <c r="X32" s="21">
        <f>'VOC - IRI change over time'!I44</f>
        <v>0.43455619412228719</v>
      </c>
      <c r="Y32" s="21">
        <f>'VOC - IRI change over time'!I45</f>
        <v>0.41840174547242193</v>
      </c>
      <c r="Z32" s="21">
        <f>'VOC - IRI change over time'!I46</f>
        <v>0.40284783183899614</v>
      </c>
      <c r="AA32" s="21">
        <f>'VOC - IRI change over time'!I47</f>
        <v>0.38787212857857661</v>
      </c>
      <c r="AB32" s="21">
        <f>'VOC - IRI change over time'!I48</f>
        <v>0.37345314095721205</v>
      </c>
      <c r="AC32" s="21">
        <f>'VOC - IRI change over time'!I49</f>
        <v>0.35957017329888774</v>
      </c>
      <c r="AD32" s="21">
        <f>'VOC - IRI change over time'!I50</f>
        <v>0.34620329928087423</v>
      </c>
      <c r="AE32" s="21">
        <f>'VOC - IRI change over time'!I51</f>
        <v>0.33333333333333331</v>
      </c>
      <c r="AF32" s="21"/>
      <c r="AG32" s="21"/>
      <c r="AH32" s="21"/>
    </row>
    <row r="33" spans="1:34" x14ac:dyDescent="0.25">
      <c r="A33" s="21" t="s">
        <v>72</v>
      </c>
      <c r="B33">
        <f>$B$21*B32</f>
        <v>4.0468162682587376</v>
      </c>
      <c r="C33" s="21">
        <f>$B$21*C32</f>
        <v>3.8963775298740106</v>
      </c>
      <c r="D33" s="21">
        <f t="shared" ref="D33:AE33" si="1">$B$21*D32</f>
        <v>3.7515312900131983</v>
      </c>
      <c r="E33" s="21">
        <f t="shared" si="1"/>
        <v>3.6120696498327183</v>
      </c>
      <c r="F33" s="21">
        <f t="shared" si="1"/>
        <v>3.4777924390434065</v>
      </c>
      <c r="G33" s="21">
        <f t="shared" si="1"/>
        <v>3.3485069286046651</v>
      </c>
      <c r="H33" s="21">
        <f t="shared" si="1"/>
        <v>3.2240275540990981</v>
      </c>
      <c r="I33" s="21">
        <f t="shared" si="1"/>
        <v>3.1041756493905703</v>
      </c>
      <c r="J33" s="21">
        <f t="shared" si="1"/>
        <v>2.9887791901834313</v>
      </c>
      <c r="K33" s="21">
        <f>$B$21*K32</f>
        <v>2.8776725471148077</v>
      </c>
      <c r="L33" s="21">
        <f t="shared" si="1"/>
        <v>2.770696248025601</v>
      </c>
      <c r="M33" s="21">
        <f t="shared" si="1"/>
        <v>2.6676967490689516</v>
      </c>
      <c r="N33" s="21">
        <f t="shared" si="1"/>
        <v>2.5685262143276621</v>
      </c>
      <c r="O33" s="21">
        <f t="shared" si="1"/>
        <v>2.4730423036242453</v>
      </c>
      <c r="P33" s="21">
        <f t="shared" si="1"/>
        <v>2.3811079682190521</v>
      </c>
      <c r="Q33" s="21">
        <f t="shared" si="1"/>
        <v>2.2925912541032356</v>
      </c>
      <c r="R33" s="21">
        <f t="shared" si="1"/>
        <v>2.2073651126042173</v>
      </c>
      <c r="S33" s="21">
        <f t="shared" si="1"/>
        <v>2.1253072180318195</v>
      </c>
      <c r="T33" s="21">
        <f t="shared" si="1"/>
        <v>2.0462997921033295</v>
      </c>
      <c r="U33" s="21">
        <f t="shared" si="1"/>
        <v>1.9702294348954863</v>
      </c>
      <c r="V33" s="21">
        <f t="shared" si="1"/>
        <v>1.8969869620807607</v>
      </c>
      <c r="W33" s="21">
        <f t="shared" si="1"/>
        <v>1.8264672482143096</v>
      </c>
      <c r="X33" s="21">
        <f t="shared" si="1"/>
        <v>1.7585690758466739</v>
      </c>
      <c r="Y33" s="21">
        <f t="shared" si="1"/>
        <v>1.6931949902456487</v>
      </c>
      <c r="Z33" s="21">
        <f t="shared" si="1"/>
        <v>1.6302511595188098</v>
      </c>
      <c r="AA33" s="21">
        <f t="shared" si="1"/>
        <v>1.5696472399359287</v>
      </c>
      <c r="AB33" s="21">
        <f t="shared" si="1"/>
        <v>1.5112962462579691</v>
      </c>
      <c r="AC33" s="21">
        <f t="shared" si="1"/>
        <v>1.4551144268865526</v>
      </c>
      <c r="AD33" s="21">
        <f t="shared" si="1"/>
        <v>1.4010211436546904</v>
      </c>
      <c r="AE33" s="21">
        <f t="shared" si="1"/>
        <v>1.3489387560862458</v>
      </c>
      <c r="AF33" s="21"/>
      <c r="AG33" s="21"/>
      <c r="AH33" s="21"/>
    </row>
    <row r="34" spans="1:34" ht="30" x14ac:dyDescent="0.25">
      <c r="A34" s="26" t="s">
        <v>100</v>
      </c>
      <c r="B34">
        <f>(B33*$B$24*$B$25)/100</f>
        <v>161.87265073034951</v>
      </c>
      <c r="C34" s="21">
        <f>(C33*$B$24*($B$25*(1+$B$26)^(C31-$B$31)))/100</f>
        <v>158.97220321885962</v>
      </c>
      <c r="D34" s="21">
        <f t="shared" ref="D34:AE34" si="2">(D33*$B$24*($B$25*(1+$B$26)^(D31-$B$31)))/100</f>
        <v>156.12372616518923</v>
      </c>
      <c r="E34" s="21">
        <f t="shared" si="2"/>
        <v>153.32628835838716</v>
      </c>
      <c r="F34" s="21">
        <f t="shared" si="2"/>
        <v>150.57897527301694</v>
      </c>
      <c r="G34" s="21">
        <f t="shared" si="2"/>
        <v>147.88088877018416</v>
      </c>
      <c r="H34" s="21">
        <f t="shared" si="2"/>
        <v>145.23114680392146</v>
      </c>
      <c r="I34" s="21">
        <f t="shared" si="2"/>
        <v>142.62888313283375</v>
      </c>
      <c r="J34" s="21">
        <f t="shared" si="2"/>
        <v>140.07324703691086</v>
      </c>
      <c r="K34" s="21">
        <f t="shared" si="2"/>
        <v>137.56340303941374</v>
      </c>
      <c r="L34" s="21">
        <f t="shared" si="2"/>
        <v>135.09853063374467</v>
      </c>
      <c r="M34" s="21">
        <f t="shared" si="2"/>
        <v>132.67782401521077</v>
      </c>
      <c r="N34" s="21">
        <f t="shared" si="2"/>
        <v>130.30049181759421</v>
      </c>
      <c r="O34" s="21">
        <f t="shared" si="2"/>
        <v>127.96575685444213</v>
      </c>
      <c r="P34" s="21">
        <f t="shared" si="2"/>
        <v>125.67285586499294</v>
      </c>
      <c r="Q34" s="21">
        <f t="shared" si="2"/>
        <v>123.42103926465414</v>
      </c>
      <c r="R34" s="21">
        <f t="shared" si="2"/>
        <v>121.20957089995194</v>
      </c>
      <c r="S34" s="21">
        <f t="shared" si="2"/>
        <v>119.03772780787114</v>
      </c>
      <c r="T34" s="21">
        <f t="shared" si="2"/>
        <v>116.9047999795075</v>
      </c>
      <c r="U34" s="21">
        <f t="shared" si="2"/>
        <v>114.81009012795498</v>
      </c>
      <c r="V34" s="21">
        <f t="shared" si="2"/>
        <v>112.75291346035181</v>
      </c>
      <c r="W34" s="21">
        <f t="shared" si="2"/>
        <v>110.7325974540112</v>
      </c>
      <c r="X34" s="21">
        <f t="shared" si="2"/>
        <v>108.74848163656337</v>
      </c>
      <c r="Y34" s="21">
        <f t="shared" si="2"/>
        <v>106.79991737003692</v>
      </c>
      <c r="Z34" s="21">
        <f t="shared" si="2"/>
        <v>104.88626763880922</v>
      </c>
      <c r="AA34" s="21">
        <f t="shared" si="2"/>
        <v>103.0069068413561</v>
      </c>
      <c r="AB34" s="21">
        <f t="shared" si="2"/>
        <v>101.16122058573305</v>
      </c>
      <c r="AC34" s="21">
        <f t="shared" si="2"/>
        <v>99.34860548872112</v>
      </c>
      <c r="AD34" s="21">
        <f t="shared" si="2"/>
        <v>97.568468978571786</v>
      </c>
      <c r="AE34" s="21">
        <f t="shared" si="2"/>
        <v>95.820229101285847</v>
      </c>
      <c r="AF34" s="21"/>
      <c r="AG34" s="21"/>
      <c r="AH34" s="21"/>
    </row>
    <row r="38" spans="1:34" x14ac:dyDescent="0.25"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64" spans="2:2" x14ac:dyDescent="0.25">
      <c r="B64" s="21"/>
    </row>
    <row r="65" spans="2:2" x14ac:dyDescent="0.25">
      <c r="B65" s="21"/>
    </row>
    <row r="66" spans="2:2" x14ac:dyDescent="0.25">
      <c r="B66" s="21"/>
    </row>
    <row r="67" spans="2:2" x14ac:dyDescent="0.25">
      <c r="B67" s="21"/>
    </row>
    <row r="68" spans="2:2" x14ac:dyDescent="0.25">
      <c r="B68" s="21"/>
    </row>
    <row r="69" spans="2:2" x14ac:dyDescent="0.25">
      <c r="B69" s="21"/>
    </row>
    <row r="70" spans="2:2" x14ac:dyDescent="0.25">
      <c r="B70" s="21"/>
    </row>
    <row r="71" spans="2:2" x14ac:dyDescent="0.25">
      <c r="B71" s="21"/>
    </row>
    <row r="72" spans="2:2" x14ac:dyDescent="0.25">
      <c r="B72" s="21"/>
    </row>
    <row r="73" spans="2:2" x14ac:dyDescent="0.25">
      <c r="B73" s="21"/>
    </row>
    <row r="74" spans="2:2" x14ac:dyDescent="0.25">
      <c r="B74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84</vt:i4>
      </vt:variant>
    </vt:vector>
  </HeadingPairs>
  <TitlesOfParts>
    <vt:vector size="102" baseType="lpstr">
      <vt:lpstr>Input sheet</vt:lpstr>
      <vt:lpstr>Summary Sheet</vt:lpstr>
      <vt:lpstr>Table D4 PPR template</vt:lpstr>
      <vt:lpstr>Model</vt:lpstr>
      <vt:lpstr>Drop down menu lists</vt:lpstr>
      <vt:lpstr>Vehicle Data Mapping</vt:lpstr>
      <vt:lpstr>References</vt:lpstr>
      <vt:lpstr>VOC - IRI change over time</vt:lpstr>
      <vt:lpstr>VOC Light</vt:lpstr>
      <vt:lpstr>VOC Heavy</vt:lpstr>
      <vt:lpstr>Travel Time Value</vt:lpstr>
      <vt:lpstr>Crash Cost Values</vt:lpstr>
      <vt:lpstr>Externality Values</vt:lpstr>
      <vt:lpstr>WTP Values</vt:lpstr>
      <vt:lpstr>Sheet1</vt:lpstr>
      <vt:lpstr>Motor Vehicle Counts</vt:lpstr>
      <vt:lpstr>Motor Vehicle Proportion</vt:lpstr>
      <vt:lpstr>CPI Values</vt:lpstr>
      <vt:lpstr>A2325806K</vt:lpstr>
      <vt:lpstr>A2325806K_Data</vt:lpstr>
      <vt:lpstr>A2325806K_Latest</vt:lpstr>
      <vt:lpstr>A2325807L</vt:lpstr>
      <vt:lpstr>A2325807L_Data</vt:lpstr>
      <vt:lpstr>A2325807L_Latest</vt:lpstr>
      <vt:lpstr>A2325810A</vt:lpstr>
      <vt:lpstr>A2325810A_Data</vt:lpstr>
      <vt:lpstr>A2325810A_Latest</vt:lpstr>
      <vt:lpstr>A2325811C</vt:lpstr>
      <vt:lpstr>A2325811C_Data</vt:lpstr>
      <vt:lpstr>A2325811C_Latest</vt:lpstr>
      <vt:lpstr>A2325812F</vt:lpstr>
      <vt:lpstr>A2325812F_Data</vt:lpstr>
      <vt:lpstr>A2325812F_Latest</vt:lpstr>
      <vt:lpstr>A2325815L</vt:lpstr>
      <vt:lpstr>A2325815L_Data</vt:lpstr>
      <vt:lpstr>A2325815L_Latest</vt:lpstr>
      <vt:lpstr>A2325816R</vt:lpstr>
      <vt:lpstr>A2325816R_Data</vt:lpstr>
      <vt:lpstr>A2325816R_Latest</vt:lpstr>
      <vt:lpstr>A2325817T</vt:lpstr>
      <vt:lpstr>A2325817T_Data</vt:lpstr>
      <vt:lpstr>A2325817T_Latest</vt:lpstr>
      <vt:lpstr>A2325820F</vt:lpstr>
      <vt:lpstr>A2325820F_Data</vt:lpstr>
      <vt:lpstr>A2325820F_Latest</vt:lpstr>
      <vt:lpstr>A2325821J</vt:lpstr>
      <vt:lpstr>A2325821J_Data</vt:lpstr>
      <vt:lpstr>A2325821J_Latest</vt:lpstr>
      <vt:lpstr>A2325822K</vt:lpstr>
      <vt:lpstr>A2325822K_Data</vt:lpstr>
      <vt:lpstr>A2325822K_Latest</vt:lpstr>
      <vt:lpstr>A2325825T</vt:lpstr>
      <vt:lpstr>A2325825T_Data</vt:lpstr>
      <vt:lpstr>A2325825T_Latest</vt:lpstr>
      <vt:lpstr>A2325826V</vt:lpstr>
      <vt:lpstr>A2325826V_Data</vt:lpstr>
      <vt:lpstr>A2325826V_Latest</vt:lpstr>
      <vt:lpstr>A2325827W</vt:lpstr>
      <vt:lpstr>A2325827W_Data</vt:lpstr>
      <vt:lpstr>A2325827W_Latest</vt:lpstr>
      <vt:lpstr>A2325830K</vt:lpstr>
      <vt:lpstr>A2325830K_Data</vt:lpstr>
      <vt:lpstr>A2325830K_Latest</vt:lpstr>
      <vt:lpstr>A2325831L</vt:lpstr>
      <vt:lpstr>A2325831L_Data</vt:lpstr>
      <vt:lpstr>A2325831L_Latest</vt:lpstr>
      <vt:lpstr>A2325832R</vt:lpstr>
      <vt:lpstr>A2325832R_Data</vt:lpstr>
      <vt:lpstr>A2325832R_Latest</vt:lpstr>
      <vt:lpstr>A2325835W</vt:lpstr>
      <vt:lpstr>A2325835W_Data</vt:lpstr>
      <vt:lpstr>A2325835W_Latest</vt:lpstr>
      <vt:lpstr>A2325836X</vt:lpstr>
      <vt:lpstr>A2325836X_Data</vt:lpstr>
      <vt:lpstr>A2325836X_Latest</vt:lpstr>
      <vt:lpstr>A2325837A</vt:lpstr>
      <vt:lpstr>A2325837A_Data</vt:lpstr>
      <vt:lpstr>A2325837A_Latest</vt:lpstr>
      <vt:lpstr>A2325840R</vt:lpstr>
      <vt:lpstr>A2325840R_Data</vt:lpstr>
      <vt:lpstr>A2325840R_Latest</vt:lpstr>
      <vt:lpstr>A2325841T</vt:lpstr>
      <vt:lpstr>A2325841T_Data</vt:lpstr>
      <vt:lpstr>A2325841T_Latest</vt:lpstr>
      <vt:lpstr>A2325842V</vt:lpstr>
      <vt:lpstr>A2325842V_Data</vt:lpstr>
      <vt:lpstr>A2325842V_Latest</vt:lpstr>
      <vt:lpstr>A2325845A</vt:lpstr>
      <vt:lpstr>A2325845A_Data</vt:lpstr>
      <vt:lpstr>A2325845A_Latest</vt:lpstr>
      <vt:lpstr>A2325846C</vt:lpstr>
      <vt:lpstr>A2325846C_Data</vt:lpstr>
      <vt:lpstr>A2325846C_Latest</vt:lpstr>
      <vt:lpstr>A2325847F</vt:lpstr>
      <vt:lpstr>A2325847F_Data</vt:lpstr>
      <vt:lpstr>A2325847F_Latest</vt:lpstr>
      <vt:lpstr>A2325850V</vt:lpstr>
      <vt:lpstr>A2325850V_Data</vt:lpstr>
      <vt:lpstr>A2325850V_Latest</vt:lpstr>
      <vt:lpstr>Date_Range</vt:lpstr>
      <vt:lpstr>Date_Range_Data</vt:lpstr>
      <vt:lpstr>TopOfTable_Table_1</vt:lpstr>
    </vt:vector>
  </TitlesOfParts>
  <Company>Department of Infrastructure and Regional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 BOIS Ben</dc:creator>
  <cp:lastModifiedBy>DU BOIS Ben</cp:lastModifiedBy>
  <dcterms:created xsi:type="dcterms:W3CDTF">2018-03-13T00:34:23Z</dcterms:created>
  <dcterms:modified xsi:type="dcterms:W3CDTF">2019-12-19T02:15:21Z</dcterms:modified>
</cp:coreProperties>
</file>