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ocuments\_Application files\_Work\Entities\Public\Commonwealth\DIRD\Guidelines 2016\Development\Example models\"/>
    </mc:Choice>
  </mc:AlternateContent>
  <bookViews>
    <workbookView xWindow="0" yWindow="0" windowWidth="23040" windowHeight="9672" activeTab="2"/>
  </bookViews>
  <sheets>
    <sheet name="Estimate" sheetId="1" r:id="rId1"/>
    <sheet name="Estimate summary" sheetId="6" r:id="rId2"/>
    <sheet name="Risk factor allocation" sheetId="7" r:id="rId3"/>
    <sheet name="Schedule model" sheetId="15" r:id="rId4"/>
    <sheet name="Model" sheetId="8" r:id="rId5"/>
    <sheet name="Risk factors" sheetId="4" r:id="rId6"/>
    <sheet name="RiskSerializationData" sheetId="17" state="hidden" r:id="rId7"/>
    <sheet name="Summary output" sheetId="5" r:id="rId8"/>
  </sheets>
  <externalReferences>
    <externalReference r:id="rId9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0</definedName>
    <definedName name="_Order2" hidden="1">255</definedName>
    <definedName name="AccessDatabase" hidden="1">"G:\Controlete_Orcamentario\Andrade\RESUMO GERAL_AAA.mdb"</definedName>
    <definedName name="anscount" hidden="1">1</definedName>
    <definedName name="AS2DocOpenMode" hidden="1">"AS2DocumentEdit"</definedName>
    <definedName name="BLPH2" localSheetId="1" hidden="1">#REF!</definedName>
    <definedName name="BLPH2" localSheetId="4" hidden="1">#REF!</definedName>
    <definedName name="BLPH2" localSheetId="2" hidden="1">#REF!</definedName>
    <definedName name="BLPH2" hidden="1">#REF!</definedName>
    <definedName name="BLPH5" localSheetId="1" hidden="1">#REF!</definedName>
    <definedName name="BLPH5" localSheetId="4" hidden="1">#REF!</definedName>
    <definedName name="BLPH5" localSheetId="2" hidden="1">#REF!</definedName>
    <definedName name="BLPH5" hidden="1">#REF!</definedName>
    <definedName name="CAPEX98" hidden="1">[1]FINALPHP!$G$27</definedName>
    <definedName name="CBWorkbookPriority" hidden="1">-1905122241</definedName>
    <definedName name="Crap" localSheetId="1" hidden="1">#REF!</definedName>
    <definedName name="Crap" localSheetId="4" hidden="1">#REF!</definedName>
    <definedName name="Crap" localSheetId="2" hidden="1">#REF!</definedName>
    <definedName name="Crap" hidden="1">#REF!</definedName>
    <definedName name="Crap1" localSheetId="1" hidden="1">#REF!</definedName>
    <definedName name="Crap1" localSheetId="4" hidden="1">#REF!</definedName>
    <definedName name="Crap1" localSheetId="2" hidden="1">#REF!</definedName>
    <definedName name="Crap1" hidden="1">#REF!</definedName>
    <definedName name="Crap4" localSheetId="1" hidden="1">#REF!</definedName>
    <definedName name="Crap4" localSheetId="4" hidden="1">#REF!</definedName>
    <definedName name="Crap4" localSheetId="2" hidden="1">#REF!</definedName>
    <definedName name="Crap4" hidden="1">#REF!</definedName>
    <definedName name="Duration">'Risk factors'!$F$5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limcount" hidden="1">1</definedName>
    <definedName name="Market_rates">'Risk factors'!$J$15:$N$19</definedName>
    <definedName name="MOA" hidden="1">{#N/A,#N/A,FALSE,"DEF1";#N/A,#N/A,FALSE,"DEF2";#N/A,#N/A,FALSE,"DEF3"}</definedName>
    <definedName name="Pal_Workbook_GUID" localSheetId="7" hidden="1">"XPNPGXT7H4HJWIZ48AUULN47"</definedName>
    <definedName name="Pal_Workbook_GUID" hidden="1">"EHYMXI92GZ7UMGI32C3FH4M4"</definedName>
    <definedName name="Prelim_running">'Risk factors'!$F$4</definedName>
    <definedName name="Premissas" hidden="1">{#N/A,#N/A,FALSE,"model"}</definedName>
    <definedName name="prm" hidden="1">{#N/A,#N/A,FALSE,"model"}</definedName>
    <definedName name="Productivity">'Risk factors'!$F$22</definedName>
    <definedName name="Provisions">'Risk factors'!$F$3</definedName>
    <definedName name="Q_Barrier">'Risk factors'!$F$12</definedName>
    <definedName name="Q_Conc">'Risk factors'!$F$9</definedName>
    <definedName name="Q_Earth">'Risk factors'!$F$8</definedName>
    <definedName name="Q_Eng">'Risk factors'!$F$6</definedName>
    <definedName name="Q_Pave">'Risk factors'!$F$11</definedName>
    <definedName name="Q_Pile">'Risk factors'!$F$13</definedName>
    <definedName name="Q_Plant">'Risk factors'!$F$7</definedName>
    <definedName name="Q_Steel">'Risk factors'!$F$14</definedName>
    <definedName name="Q_Walls">'Risk factors'!$F$10</definedName>
    <definedName name="R_Conc">'Risk factors'!$F$15</definedName>
    <definedName name="R_General">'Risk factors'!$F$17</definedName>
    <definedName name="R_Labour">'Risk factors'!$F$21</definedName>
    <definedName name="R_Plant">'Risk factors'!$F$18</definedName>
    <definedName name="R_Staff">'Risk factors'!$F$20</definedName>
    <definedName name="R_Steel">'Risk factors'!$F$16</definedName>
    <definedName name="R_Subcon">'Risk factors'!$F$19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StatFunctionsUpdateFreq">1</definedName>
    <definedName name="RiskSwapState" hidden="1">FALSE</definedName>
    <definedName name="RiskTemplateSheetName">"myTemplate"</definedName>
    <definedName name="RiskUpdateDisplay" hidden="1">FALSE</definedName>
    <definedName name="RiskUpdateStatFunctions">TRUE</definedName>
    <definedName name="RiskUseDifferentSeedForEachSim" hidden="1">FALSE</definedName>
    <definedName name="RiskUseFixedSeed" hidden="1">FALSE</definedName>
    <definedName name="RiskUseMultipleCPUs" hidden="1">TRUE</definedName>
    <definedName name="Schedule_Entire_Plan">'Schedule model'!$I$15</definedName>
    <definedName name="sencount" hidden="1">1</definedName>
    <definedName name="TextRefCopyRangeCount" hidden="1">1</definedName>
    <definedName name="wrn.def9806." hidden="1">{#N/A,#N/A,FALSE,"DEF1";#N/A,#N/A,FALSE,"DEF2";#N/A,#N/A,FALSE,"DEF3"}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history2" hidden="1">{#N/A,#N/A,FALSE,"model"}</definedName>
    <definedName name="XRefColumnsCount" hidden="1">6</definedName>
    <definedName name="XRefCopy3Row" localSheetId="1" hidden="1">#REF!</definedName>
    <definedName name="XRefCopy3Row" localSheetId="4" hidden="1">#REF!</definedName>
    <definedName name="XRefCopy3Row" localSheetId="2" hidden="1">#REF!</definedName>
    <definedName name="XRefCopy3Row" hidden="1">#REF!</definedName>
    <definedName name="XRefCopy4" localSheetId="1" hidden="1">#REF!</definedName>
    <definedName name="XRefCopy4" localSheetId="4" hidden="1">#REF!</definedName>
    <definedName name="XRefCopy4" localSheetId="2" hidden="1">#REF!</definedName>
    <definedName name="XRefCopy4" hidden="1">#REF!</definedName>
    <definedName name="XRefCopy5" localSheetId="1" hidden="1">#REF!</definedName>
    <definedName name="XRefCopy5" localSheetId="4" hidden="1">#REF!</definedName>
    <definedName name="XRefCopy5" localSheetId="2" hidden="1">#REF!</definedName>
    <definedName name="XRefCopy5" hidden="1">#REF!</definedName>
    <definedName name="XRefCopy6" localSheetId="1" hidden="1">#REF!</definedName>
    <definedName name="XRefCopy6" localSheetId="4" hidden="1">#REF!</definedName>
    <definedName name="XRefCopy6" localSheetId="2" hidden="1">#REF!</definedName>
    <definedName name="XRefCopy6" hidden="1">#REF!</definedName>
    <definedName name="XRefCopyRangeCount" hidden="1">9</definedName>
    <definedName name="XRefPaste1Row" localSheetId="1" hidden="1">#REF!</definedName>
    <definedName name="XRefPaste1Row" localSheetId="4" hidden="1">#REF!</definedName>
    <definedName name="XRefPaste1Row" localSheetId="2" hidden="1">#REF!</definedName>
    <definedName name="XRefPaste1Row" hidden="1">#REF!</definedName>
    <definedName name="XRefPasteRangeCount" hidden="1">7</definedName>
    <definedName name="ZZSCENARIO">"X"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4" l="1"/>
  <c r="E28" i="4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20" i="4"/>
  <c r="F20" i="4" s="1"/>
  <c r="E21" i="4"/>
  <c r="F21" i="4" s="1"/>
  <c r="E22" i="4"/>
  <c r="F22" i="4" s="1"/>
  <c r="E3" i="4"/>
  <c r="F3" i="4" s="1"/>
  <c r="E4" i="4"/>
  <c r="F4" i="4" s="1"/>
  <c r="I8" i="15"/>
  <c r="I15" i="15" s="1"/>
  <c r="F5" i="4" s="1"/>
  <c r="E466" i="15"/>
  <c r="E465" i="15"/>
  <c r="E464" i="15"/>
  <c r="E463" i="15"/>
  <c r="E462" i="15"/>
  <c r="E461" i="15"/>
  <c r="E460" i="15"/>
  <c r="E459" i="15"/>
  <c r="E458" i="15"/>
  <c r="E457" i="15"/>
  <c r="E456" i="15"/>
  <c r="E455" i="15"/>
  <c r="E454" i="15"/>
  <c r="E453" i="15"/>
  <c r="E452" i="15"/>
  <c r="E451" i="15"/>
  <c r="E450" i="15"/>
  <c r="E449" i="15"/>
  <c r="E448" i="15"/>
  <c r="E447" i="15"/>
  <c r="E446" i="15"/>
  <c r="E445" i="15"/>
  <c r="E444" i="15"/>
  <c r="E443" i="15"/>
  <c r="E442" i="15"/>
  <c r="E441" i="15"/>
  <c r="E440" i="15"/>
  <c r="E439" i="15"/>
  <c r="E438" i="15"/>
  <c r="E437" i="15"/>
  <c r="E436" i="15"/>
  <c r="E435" i="15"/>
  <c r="E434" i="15"/>
  <c r="E433" i="15"/>
  <c r="E432" i="15"/>
  <c r="E431" i="15"/>
  <c r="E430" i="15"/>
  <c r="E429" i="15"/>
  <c r="E428" i="15"/>
  <c r="E427" i="15"/>
  <c r="E426" i="15"/>
  <c r="E425" i="15"/>
  <c r="E424" i="15"/>
  <c r="E423" i="15"/>
  <c r="E422" i="15"/>
  <c r="E421" i="15"/>
  <c r="E420" i="15"/>
  <c r="E419" i="15"/>
  <c r="E418" i="15"/>
  <c r="E417" i="15"/>
  <c r="E416" i="15"/>
  <c r="E415" i="15"/>
  <c r="E414" i="15"/>
  <c r="E413" i="15"/>
  <c r="E412" i="15"/>
  <c r="E411" i="15"/>
  <c r="E410" i="15"/>
  <c r="E409" i="15"/>
  <c r="E408" i="15"/>
  <c r="E407" i="15"/>
  <c r="E406" i="15"/>
  <c r="E405" i="15"/>
  <c r="E404" i="15"/>
  <c r="E403" i="15"/>
  <c r="E402" i="15"/>
  <c r="E401" i="15"/>
  <c r="E400" i="15"/>
  <c r="E399" i="15"/>
  <c r="E398" i="15"/>
  <c r="E397" i="15"/>
  <c r="E396" i="15"/>
  <c r="E395" i="15"/>
  <c r="E394" i="15"/>
  <c r="E393" i="15"/>
  <c r="E392" i="15"/>
  <c r="E391" i="15"/>
  <c r="E390" i="15"/>
  <c r="E389" i="15"/>
  <c r="E388" i="15"/>
  <c r="E387" i="15"/>
  <c r="E386" i="15"/>
  <c r="E385" i="15"/>
  <c r="E384" i="15"/>
  <c r="E383" i="15"/>
  <c r="E382" i="15"/>
  <c r="E381" i="15"/>
  <c r="E380" i="15"/>
  <c r="E379" i="15"/>
  <c r="E378" i="15"/>
  <c r="E377" i="15"/>
  <c r="E376" i="15"/>
  <c r="E375" i="15"/>
  <c r="E374" i="15"/>
  <c r="E373" i="15"/>
  <c r="E372" i="15"/>
  <c r="E371" i="15"/>
  <c r="E370" i="15"/>
  <c r="E369" i="15"/>
  <c r="E368" i="15"/>
  <c r="E367" i="15"/>
  <c r="E366" i="15"/>
  <c r="E365" i="15"/>
  <c r="E364" i="15"/>
  <c r="E363" i="15"/>
  <c r="E362" i="15"/>
  <c r="E361" i="15"/>
  <c r="E360" i="15"/>
  <c r="E359" i="15"/>
  <c r="E358" i="15"/>
  <c r="E357" i="15"/>
  <c r="E356" i="15"/>
  <c r="E355" i="15"/>
  <c r="E354" i="15"/>
  <c r="E353" i="15"/>
  <c r="E352" i="15"/>
  <c r="E351" i="15"/>
  <c r="E350" i="15"/>
  <c r="E349" i="15"/>
  <c r="E348" i="15"/>
  <c r="E347" i="15"/>
  <c r="E346" i="15"/>
  <c r="E345" i="15"/>
  <c r="E344" i="15"/>
  <c r="E343" i="15"/>
  <c r="E342" i="15"/>
  <c r="E341" i="15"/>
  <c r="E340" i="15"/>
  <c r="E339" i="15"/>
  <c r="E338" i="15"/>
  <c r="E337" i="15"/>
  <c r="E336" i="15"/>
  <c r="E335" i="15"/>
  <c r="E334" i="15"/>
  <c r="E333" i="15"/>
  <c r="E332" i="15"/>
  <c r="E331" i="15"/>
  <c r="E330" i="15"/>
  <c r="E329" i="15"/>
  <c r="E328" i="15"/>
  <c r="E327" i="15"/>
  <c r="E326" i="15"/>
  <c r="E325" i="15"/>
  <c r="E324" i="15"/>
  <c r="E323" i="15"/>
  <c r="E322" i="15"/>
  <c r="E321" i="15"/>
  <c r="E320" i="15"/>
  <c r="E319" i="15"/>
  <c r="E318" i="15"/>
  <c r="E317" i="15"/>
  <c r="E316" i="15"/>
  <c r="E315" i="15"/>
  <c r="E314" i="15"/>
  <c r="E313" i="15"/>
  <c r="E312" i="15"/>
  <c r="E311" i="15"/>
  <c r="E310" i="15"/>
  <c r="E309" i="15"/>
  <c r="E308" i="15"/>
  <c r="E307" i="15"/>
  <c r="E306" i="15"/>
  <c r="E305" i="15"/>
  <c r="E304" i="15"/>
  <c r="E303" i="15"/>
  <c r="E302" i="15"/>
  <c r="E301" i="15"/>
  <c r="E300" i="15"/>
  <c r="E299" i="15"/>
  <c r="E298" i="15"/>
  <c r="E297" i="15"/>
  <c r="E296" i="15"/>
  <c r="E295" i="15"/>
  <c r="E294" i="15"/>
  <c r="E293" i="15"/>
  <c r="E292" i="15"/>
  <c r="E291" i="15"/>
  <c r="E290" i="15"/>
  <c r="E289" i="15"/>
  <c r="E288" i="15"/>
  <c r="E287" i="15"/>
  <c r="E286" i="15"/>
  <c r="E285" i="15"/>
  <c r="E284" i="15"/>
  <c r="E283" i="15"/>
  <c r="E282" i="15"/>
  <c r="E281" i="15"/>
  <c r="E280" i="15"/>
  <c r="E279" i="15"/>
  <c r="E278" i="15"/>
  <c r="E277" i="15"/>
  <c r="E276" i="15"/>
  <c r="E275" i="15"/>
  <c r="E274" i="15"/>
  <c r="E273" i="15"/>
  <c r="E272" i="15"/>
  <c r="E271" i="15"/>
  <c r="E270" i="15"/>
  <c r="E269" i="15"/>
  <c r="E268" i="15"/>
  <c r="E267" i="15"/>
  <c r="E266" i="15"/>
  <c r="E265" i="15"/>
  <c r="E264" i="15"/>
  <c r="E263" i="15"/>
  <c r="E262" i="15"/>
  <c r="E261" i="15"/>
  <c r="E260" i="15"/>
  <c r="E259" i="15"/>
  <c r="E258" i="15"/>
  <c r="E257" i="15"/>
  <c r="E256" i="15"/>
  <c r="E255" i="15"/>
  <c r="E254" i="15"/>
  <c r="E253" i="15"/>
  <c r="E252" i="15"/>
  <c r="E251" i="15"/>
  <c r="E250" i="15"/>
  <c r="E249" i="15"/>
  <c r="E248" i="15"/>
  <c r="E247" i="15"/>
  <c r="E246" i="15"/>
  <c r="E245" i="15"/>
  <c r="E244" i="15"/>
  <c r="E243" i="15"/>
  <c r="E242" i="15"/>
  <c r="E241" i="15"/>
  <c r="E240" i="15"/>
  <c r="E239" i="15"/>
  <c r="E238" i="15"/>
  <c r="E237" i="15"/>
  <c r="E236" i="15"/>
  <c r="E235" i="15"/>
  <c r="E234" i="15"/>
  <c r="E233" i="15"/>
  <c r="E232" i="15"/>
  <c r="E231" i="15"/>
  <c r="E230" i="15"/>
  <c r="E229" i="15"/>
  <c r="E228" i="15"/>
  <c r="E227" i="15"/>
  <c r="E226" i="15"/>
  <c r="E225" i="15"/>
  <c r="E224" i="15"/>
  <c r="E223" i="15"/>
  <c r="E222" i="15"/>
  <c r="E221" i="15"/>
  <c r="E220" i="15"/>
  <c r="E219" i="15"/>
  <c r="E218" i="15"/>
  <c r="E217" i="15"/>
  <c r="E216" i="15"/>
  <c r="E215" i="15"/>
  <c r="E214" i="15"/>
  <c r="E213" i="15"/>
  <c r="E212" i="15"/>
  <c r="E211" i="15"/>
  <c r="E210" i="15"/>
  <c r="E209" i="15"/>
  <c r="E208" i="15"/>
  <c r="E207" i="15"/>
  <c r="E206" i="15"/>
  <c r="E205" i="15"/>
  <c r="E204" i="15"/>
  <c r="E203" i="15"/>
  <c r="E202" i="15"/>
  <c r="E201" i="15"/>
  <c r="E200" i="15"/>
  <c r="E199" i="15"/>
  <c r="E198" i="15"/>
  <c r="E197" i="15"/>
  <c r="E196" i="15"/>
  <c r="E195" i="15"/>
  <c r="E194" i="15"/>
  <c r="E193" i="15"/>
  <c r="E192" i="15"/>
  <c r="E191" i="15"/>
  <c r="E190" i="15"/>
  <c r="E189" i="15"/>
  <c r="E188" i="15"/>
  <c r="E187" i="15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I6" i="15"/>
  <c r="E6" i="15"/>
  <c r="E5" i="15"/>
  <c r="E4" i="15"/>
  <c r="D4" i="15"/>
  <c r="E3" i="15"/>
  <c r="D3" i="15"/>
  <c r="H3" i="8"/>
  <c r="C117" i="1"/>
  <c r="C16" i="6"/>
  <c r="D117" i="1"/>
  <c r="D16" i="6"/>
  <c r="E117" i="1"/>
  <c r="E16" i="6"/>
  <c r="F117" i="1"/>
  <c r="F16" i="6"/>
  <c r="G117" i="1"/>
  <c r="G16" i="6"/>
  <c r="H117" i="1"/>
  <c r="H16" i="6"/>
  <c r="I117" i="1"/>
  <c r="I16" i="6"/>
  <c r="J117" i="1"/>
  <c r="J16" i="6"/>
  <c r="C131" i="1"/>
  <c r="C18" i="6"/>
  <c r="D131" i="1"/>
  <c r="E131" i="1"/>
  <c r="F131" i="1"/>
  <c r="G131" i="1"/>
  <c r="G18" i="6"/>
  <c r="H131" i="1"/>
  <c r="I131" i="1"/>
  <c r="J131" i="1"/>
  <c r="J29" i="1"/>
  <c r="J42" i="1"/>
  <c r="J57" i="1"/>
  <c r="J60" i="1"/>
  <c r="J64" i="1"/>
  <c r="I29" i="1"/>
  <c r="I42" i="1"/>
  <c r="I57" i="1"/>
  <c r="I60" i="1"/>
  <c r="I14" i="1"/>
  <c r="I64" i="1"/>
  <c r="H29" i="1"/>
  <c r="H42" i="1"/>
  <c r="H57" i="1"/>
  <c r="H7" i="6"/>
  <c r="H60" i="1"/>
  <c r="H64" i="1"/>
  <c r="G29" i="1"/>
  <c r="G42" i="1"/>
  <c r="G57" i="1"/>
  <c r="G60" i="1"/>
  <c r="G64" i="1"/>
  <c r="F29" i="1"/>
  <c r="F42" i="1"/>
  <c r="F57" i="1"/>
  <c r="F60" i="1"/>
  <c r="F64" i="1"/>
  <c r="E29" i="1"/>
  <c r="E42" i="1"/>
  <c r="E57" i="1"/>
  <c r="E60" i="1"/>
  <c r="E64" i="1"/>
  <c r="D29" i="1"/>
  <c r="D42" i="1"/>
  <c r="D57" i="1"/>
  <c r="D60" i="1"/>
  <c r="D64" i="1"/>
  <c r="C29" i="1"/>
  <c r="C42" i="1"/>
  <c r="C57" i="1"/>
  <c r="C60" i="1"/>
  <c r="C64" i="1"/>
  <c r="J15" i="1"/>
  <c r="J18" i="1"/>
  <c r="I15" i="1"/>
  <c r="I6" i="6"/>
  <c r="I18" i="1"/>
  <c r="H15" i="1"/>
  <c r="H18" i="1"/>
  <c r="G15" i="1"/>
  <c r="G6" i="6"/>
  <c r="G18" i="1"/>
  <c r="F15" i="1"/>
  <c r="F18" i="1"/>
  <c r="E15" i="1"/>
  <c r="E18" i="1"/>
  <c r="D15" i="1"/>
  <c r="D18" i="1"/>
  <c r="C15" i="1"/>
  <c r="C6" i="6"/>
  <c r="C18" i="1"/>
  <c r="J7" i="6"/>
  <c r="E6" i="6"/>
  <c r="J8" i="1"/>
  <c r="J4" i="6"/>
  <c r="I8" i="1"/>
  <c r="I4" i="6"/>
  <c r="H8" i="1"/>
  <c r="H4" i="6"/>
  <c r="G8" i="1"/>
  <c r="G4" i="6"/>
  <c r="F8" i="1"/>
  <c r="F4" i="6"/>
  <c r="E8" i="1"/>
  <c r="E4" i="6"/>
  <c r="D8" i="1"/>
  <c r="D4" i="6"/>
  <c r="C8" i="1"/>
  <c r="C4" i="6"/>
  <c r="J3" i="1"/>
  <c r="I3" i="1"/>
  <c r="I3" i="6"/>
  <c r="I3" i="8"/>
  <c r="H3" i="1"/>
  <c r="H3" i="6"/>
  <c r="G3" i="1"/>
  <c r="G3" i="6"/>
  <c r="G3" i="8"/>
  <c r="F3" i="1"/>
  <c r="F3" i="6"/>
  <c r="E3" i="1"/>
  <c r="D3" i="1"/>
  <c r="D3" i="6"/>
  <c r="D3" i="8"/>
  <c r="K3" i="8" s="1"/>
  <c r="C3" i="1"/>
  <c r="C3" i="6"/>
  <c r="C3" i="8"/>
  <c r="K4" i="1"/>
  <c r="K5" i="1"/>
  <c r="K6" i="1"/>
  <c r="K7" i="1"/>
  <c r="K9" i="1"/>
  <c r="K10" i="1"/>
  <c r="K11" i="1"/>
  <c r="K12" i="1"/>
  <c r="K13" i="1"/>
  <c r="K16" i="1"/>
  <c r="K17" i="1"/>
  <c r="K19" i="1"/>
  <c r="K20" i="1"/>
  <c r="K21" i="1"/>
  <c r="K22" i="1"/>
  <c r="K23" i="1"/>
  <c r="K24" i="1"/>
  <c r="K25" i="1"/>
  <c r="K26" i="1"/>
  <c r="K27" i="1"/>
  <c r="K28" i="1"/>
  <c r="K18" i="1"/>
  <c r="K30" i="1"/>
  <c r="K31" i="1"/>
  <c r="K32" i="1"/>
  <c r="K33" i="1"/>
  <c r="K34" i="1"/>
  <c r="K35" i="1"/>
  <c r="K36" i="1"/>
  <c r="K37" i="1"/>
  <c r="K38" i="1"/>
  <c r="K39" i="1"/>
  <c r="K40" i="1"/>
  <c r="K41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42" i="1"/>
  <c r="K58" i="1"/>
  <c r="K59" i="1"/>
  <c r="K57" i="1"/>
  <c r="K61" i="1"/>
  <c r="K60" i="1"/>
  <c r="K62" i="1"/>
  <c r="K63" i="1"/>
  <c r="K65" i="1"/>
  <c r="K66" i="1"/>
  <c r="K67" i="1"/>
  <c r="K68" i="1"/>
  <c r="K69" i="1"/>
  <c r="K70" i="1"/>
  <c r="K71" i="1"/>
  <c r="K72" i="1"/>
  <c r="K73" i="1"/>
  <c r="K77" i="1"/>
  <c r="K78" i="1"/>
  <c r="K79" i="1"/>
  <c r="K80" i="1"/>
  <c r="K81" i="1"/>
  <c r="K82" i="1"/>
  <c r="K76" i="1"/>
  <c r="K84" i="1"/>
  <c r="K85" i="1"/>
  <c r="K86" i="1"/>
  <c r="K87" i="1"/>
  <c r="K88" i="1"/>
  <c r="K89" i="1"/>
  <c r="K91" i="1"/>
  <c r="K92" i="1"/>
  <c r="K93" i="1"/>
  <c r="K94" i="1"/>
  <c r="K95" i="1"/>
  <c r="K97" i="1"/>
  <c r="K98" i="1"/>
  <c r="K96" i="1"/>
  <c r="K100" i="1"/>
  <c r="K101" i="1"/>
  <c r="K102" i="1"/>
  <c r="K103" i="1"/>
  <c r="K104" i="1"/>
  <c r="K105" i="1"/>
  <c r="K99" i="1"/>
  <c r="K107" i="1"/>
  <c r="K106" i="1"/>
  <c r="K108" i="1"/>
  <c r="K109" i="1"/>
  <c r="K110" i="1"/>
  <c r="K111" i="1"/>
  <c r="K112" i="1"/>
  <c r="K113" i="1"/>
  <c r="K114" i="1"/>
  <c r="K115" i="1"/>
  <c r="K116" i="1"/>
  <c r="K118" i="1"/>
  <c r="K117" i="1"/>
  <c r="K119" i="1"/>
  <c r="K120" i="1"/>
  <c r="K121" i="1"/>
  <c r="K122" i="1"/>
  <c r="K124" i="1"/>
  <c r="K125" i="1"/>
  <c r="K126" i="1"/>
  <c r="K123" i="1"/>
  <c r="K127" i="1"/>
  <c r="K128" i="1"/>
  <c r="K129" i="1"/>
  <c r="K130" i="1"/>
  <c r="K132" i="1"/>
  <c r="K133" i="1"/>
  <c r="K134" i="1"/>
  <c r="K131" i="1"/>
  <c r="K135" i="1"/>
  <c r="K136" i="1"/>
  <c r="K137" i="1"/>
  <c r="K138" i="1"/>
  <c r="K139" i="1"/>
  <c r="K140" i="1"/>
  <c r="K142" i="1"/>
  <c r="K141" i="1"/>
  <c r="K143" i="1"/>
  <c r="K144" i="1"/>
  <c r="K145" i="1"/>
  <c r="K146" i="1"/>
  <c r="K148" i="1"/>
  <c r="K149" i="1"/>
  <c r="K150" i="1"/>
  <c r="K151" i="1"/>
  <c r="K152" i="1"/>
  <c r="K153" i="1"/>
  <c r="K154" i="1"/>
  <c r="K155" i="1"/>
  <c r="K158" i="1"/>
  <c r="K159" i="1"/>
  <c r="K160" i="1"/>
  <c r="K157" i="1"/>
  <c r="K162" i="1"/>
  <c r="K163" i="1"/>
  <c r="K164" i="1"/>
  <c r="K161" i="1"/>
  <c r="K166" i="1"/>
  <c r="K167" i="1"/>
  <c r="K169" i="1"/>
  <c r="K170" i="1"/>
  <c r="K172" i="1"/>
  <c r="K173" i="1"/>
  <c r="K171" i="1"/>
  <c r="K175" i="1"/>
  <c r="K176" i="1"/>
  <c r="K177" i="1"/>
  <c r="K178" i="1"/>
  <c r="K179" i="1"/>
  <c r="K180" i="1"/>
  <c r="K181" i="1"/>
  <c r="K174" i="1"/>
  <c r="K183" i="1"/>
  <c r="K184" i="1"/>
  <c r="K185" i="1"/>
  <c r="K186" i="1"/>
  <c r="K188" i="1"/>
  <c r="K189" i="1"/>
  <c r="K187" i="1"/>
  <c r="K190" i="1"/>
  <c r="K192" i="1"/>
  <c r="K193" i="1"/>
  <c r="K194" i="1"/>
  <c r="K195" i="1"/>
  <c r="K196" i="1"/>
  <c r="K197" i="1"/>
  <c r="K198" i="1"/>
  <c r="K199" i="1"/>
  <c r="K200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7" i="1"/>
  <c r="K218" i="1"/>
  <c r="K219" i="1"/>
  <c r="K220" i="1"/>
  <c r="K221" i="1"/>
  <c r="K222" i="1"/>
  <c r="K223" i="1"/>
  <c r="K224" i="1"/>
  <c r="K225" i="1"/>
  <c r="K226" i="1"/>
  <c r="K227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28" i="1"/>
  <c r="K242" i="1"/>
  <c r="K243" i="1"/>
  <c r="K244" i="1"/>
  <c r="K245" i="1"/>
  <c r="K246" i="1"/>
  <c r="K247" i="1"/>
  <c r="K248" i="1"/>
  <c r="K241" i="1"/>
  <c r="K250" i="1"/>
  <c r="K251" i="1"/>
  <c r="K252" i="1"/>
  <c r="K253" i="1"/>
  <c r="K249" i="1"/>
  <c r="K254" i="1"/>
  <c r="K256" i="1"/>
  <c r="K257" i="1"/>
  <c r="K258" i="1"/>
  <c r="K259" i="1"/>
  <c r="K260" i="1"/>
  <c r="K255" i="1"/>
  <c r="K262" i="1"/>
  <c r="K261" i="1"/>
  <c r="K263" i="1"/>
  <c r="K264" i="1"/>
  <c r="K267" i="1"/>
  <c r="K268" i="1"/>
  <c r="K269" i="1"/>
  <c r="K270" i="1"/>
  <c r="K271" i="1"/>
  <c r="K272" i="1"/>
  <c r="K273" i="1"/>
  <c r="K274" i="1"/>
  <c r="K276" i="1"/>
  <c r="K277" i="1"/>
  <c r="K278" i="1"/>
  <c r="K279" i="1"/>
  <c r="K280" i="1"/>
  <c r="K281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4" i="1"/>
  <c r="K305" i="1"/>
  <c r="K303" i="1"/>
  <c r="K307" i="1"/>
  <c r="K308" i="1"/>
  <c r="K306" i="1"/>
  <c r="K310" i="1"/>
  <c r="K311" i="1"/>
  <c r="K312" i="1"/>
  <c r="K313" i="1"/>
  <c r="K315" i="1"/>
  <c r="K316" i="1"/>
  <c r="K317" i="1"/>
  <c r="K318" i="1"/>
  <c r="K319" i="1"/>
  <c r="K321" i="1"/>
  <c r="K322" i="1"/>
  <c r="K323" i="1"/>
  <c r="K324" i="1"/>
  <c r="K325" i="1"/>
  <c r="K326" i="1"/>
  <c r="K329" i="1"/>
  <c r="K330" i="1"/>
  <c r="K331" i="1"/>
  <c r="K333" i="1"/>
  <c r="K332" i="1"/>
  <c r="K335" i="1"/>
  <c r="K336" i="1"/>
  <c r="K337" i="1"/>
  <c r="K338" i="1"/>
  <c r="K334" i="1"/>
  <c r="K340" i="1"/>
  <c r="K341" i="1"/>
  <c r="K339" i="1"/>
  <c r="K343" i="1"/>
  <c r="K342" i="1"/>
  <c r="K344" i="1"/>
  <c r="K346" i="1"/>
  <c r="K345" i="1"/>
  <c r="K347" i="1"/>
  <c r="K348" i="1"/>
  <c r="K350" i="1"/>
  <c r="K349" i="1"/>
  <c r="K351" i="1"/>
  <c r="K352" i="1"/>
  <c r="K353" i="1"/>
  <c r="K354" i="1"/>
  <c r="K356" i="1"/>
  <c r="K357" i="1"/>
  <c r="K358" i="1"/>
  <c r="K359" i="1"/>
  <c r="K360" i="1"/>
  <c r="K361" i="1"/>
  <c r="K355" i="1"/>
  <c r="J76" i="1"/>
  <c r="J83" i="1"/>
  <c r="J90" i="1"/>
  <c r="J12" i="6"/>
  <c r="J96" i="1"/>
  <c r="J99" i="1"/>
  <c r="J106" i="1"/>
  <c r="J123" i="1"/>
  <c r="J17" i="6"/>
  <c r="J141" i="1"/>
  <c r="J147" i="1"/>
  <c r="J20" i="6"/>
  <c r="J157" i="1"/>
  <c r="J161" i="1"/>
  <c r="J23" i="6"/>
  <c r="J165" i="1"/>
  <c r="J168" i="1"/>
  <c r="J171" i="1"/>
  <c r="J174" i="1"/>
  <c r="J27" i="6"/>
  <c r="J182" i="1"/>
  <c r="J187" i="1"/>
  <c r="J191" i="1"/>
  <c r="J156" i="1"/>
  <c r="J202" i="1"/>
  <c r="J208" i="1"/>
  <c r="J216" i="1"/>
  <c r="J34" i="6"/>
  <c r="J228" i="1"/>
  <c r="J35" i="6"/>
  <c r="J241" i="1"/>
  <c r="J249" i="1"/>
  <c r="J255" i="1"/>
  <c r="J201" i="1"/>
  <c r="J261" i="1"/>
  <c r="J39" i="6"/>
  <c r="J266" i="1"/>
  <c r="J275" i="1"/>
  <c r="J42" i="6"/>
  <c r="J282" i="1"/>
  <c r="J291" i="1"/>
  <c r="J303" i="1"/>
  <c r="J306" i="1"/>
  <c r="J46" i="6"/>
  <c r="J309" i="1"/>
  <c r="J314" i="1"/>
  <c r="J320" i="1"/>
  <c r="J328" i="1"/>
  <c r="J51" i="6"/>
  <c r="J332" i="1"/>
  <c r="J334" i="1"/>
  <c r="J339" i="1"/>
  <c r="J54" i="6"/>
  <c r="J342" i="1"/>
  <c r="J55" i="6"/>
  <c r="J345" i="1"/>
  <c r="J349" i="1"/>
  <c r="J355" i="1"/>
  <c r="J327" i="1"/>
  <c r="I76" i="1"/>
  <c r="I10" i="6"/>
  <c r="I83" i="1"/>
  <c r="I90" i="1"/>
  <c r="I96" i="1"/>
  <c r="I99" i="1"/>
  <c r="I106" i="1"/>
  <c r="I123" i="1"/>
  <c r="I141" i="1"/>
  <c r="I147" i="1"/>
  <c r="I75" i="1"/>
  <c r="I157" i="1"/>
  <c r="I161" i="1"/>
  <c r="I165" i="1"/>
  <c r="I24" i="6"/>
  <c r="I168" i="1"/>
  <c r="I171" i="1"/>
  <c r="I174" i="1"/>
  <c r="I182" i="1"/>
  <c r="I28" i="6"/>
  <c r="I187" i="1"/>
  <c r="I191" i="1"/>
  <c r="I202" i="1"/>
  <c r="I208" i="1"/>
  <c r="I216" i="1"/>
  <c r="I228" i="1"/>
  <c r="I241" i="1"/>
  <c r="I249" i="1"/>
  <c r="I37" i="6"/>
  <c r="I255" i="1"/>
  <c r="I261" i="1"/>
  <c r="I39" i="8"/>
  <c r="I266" i="1"/>
  <c r="I275" i="1"/>
  <c r="I282" i="1"/>
  <c r="I291" i="1"/>
  <c r="I303" i="1"/>
  <c r="I45" i="6"/>
  <c r="I306" i="1"/>
  <c r="I309" i="1"/>
  <c r="I314" i="1"/>
  <c r="I320" i="1"/>
  <c r="I49" i="6"/>
  <c r="I328" i="1"/>
  <c r="I332" i="1"/>
  <c r="I327" i="1"/>
  <c r="I334" i="1"/>
  <c r="I339" i="1"/>
  <c r="I342" i="1"/>
  <c r="I345" i="1"/>
  <c r="I56" i="6"/>
  <c r="I349" i="1"/>
  <c r="I355" i="1"/>
  <c r="H76" i="1"/>
  <c r="H83" i="1"/>
  <c r="H90" i="1"/>
  <c r="H96" i="1"/>
  <c r="H99" i="1"/>
  <c r="H14" i="6"/>
  <c r="H106" i="1"/>
  <c r="H123" i="1"/>
  <c r="H141" i="1"/>
  <c r="H147" i="1"/>
  <c r="H20" i="6"/>
  <c r="H157" i="1"/>
  <c r="H161" i="1"/>
  <c r="H165" i="1"/>
  <c r="H168" i="1"/>
  <c r="H171" i="1"/>
  <c r="H174" i="1"/>
  <c r="H182" i="1"/>
  <c r="H187" i="1"/>
  <c r="H191" i="1"/>
  <c r="H202" i="1"/>
  <c r="H32" i="6"/>
  <c r="H208" i="1"/>
  <c r="H216" i="1"/>
  <c r="H228" i="1"/>
  <c r="H241" i="1"/>
  <c r="H36" i="6"/>
  <c r="H249" i="1"/>
  <c r="H255" i="1"/>
  <c r="H38" i="6"/>
  <c r="H261" i="1"/>
  <c r="H266" i="1"/>
  <c r="H275" i="1"/>
  <c r="H282" i="1"/>
  <c r="H291" i="1"/>
  <c r="H44" i="6"/>
  <c r="H303" i="1"/>
  <c r="H306" i="1"/>
  <c r="H46" i="6"/>
  <c r="H309" i="1"/>
  <c r="H314" i="1"/>
  <c r="H48" i="6"/>
  <c r="H320" i="1"/>
  <c r="H49" i="6"/>
  <c r="H265" i="1"/>
  <c r="H328" i="1"/>
  <c r="H332" i="1"/>
  <c r="H334" i="1"/>
  <c r="H53" i="6"/>
  <c r="H339" i="1"/>
  <c r="H54" i="6"/>
  <c r="H342" i="1"/>
  <c r="H345" i="1"/>
  <c r="H349" i="1"/>
  <c r="H57" i="6"/>
  <c r="H355" i="1"/>
  <c r="G76" i="1"/>
  <c r="G83" i="1"/>
  <c r="G90" i="1"/>
  <c r="G96" i="1"/>
  <c r="G99" i="1"/>
  <c r="G106" i="1"/>
  <c r="G123" i="1"/>
  <c r="G141" i="1"/>
  <c r="G19" i="6"/>
  <c r="G147" i="1"/>
  <c r="G157" i="1"/>
  <c r="G156" i="1"/>
  <c r="G161" i="1"/>
  <c r="G165" i="1"/>
  <c r="G168" i="1"/>
  <c r="G171" i="1"/>
  <c r="G26" i="6"/>
  <c r="G174" i="1"/>
  <c r="G182" i="1"/>
  <c r="G187" i="1"/>
  <c r="G191" i="1"/>
  <c r="G30" i="6"/>
  <c r="G202" i="1"/>
  <c r="G208" i="1"/>
  <c r="G216" i="1"/>
  <c r="G201" i="1"/>
  <c r="G228" i="1"/>
  <c r="G35" i="6"/>
  <c r="G241" i="1"/>
  <c r="G249" i="1"/>
  <c r="G37" i="6"/>
  <c r="G255" i="1"/>
  <c r="G38" i="6"/>
  <c r="G261" i="1"/>
  <c r="G266" i="1"/>
  <c r="G275" i="1"/>
  <c r="G42" i="6"/>
  <c r="G282" i="1"/>
  <c r="G43" i="6"/>
  <c r="G291" i="1"/>
  <c r="G303" i="1"/>
  <c r="G306" i="1"/>
  <c r="G309" i="1"/>
  <c r="G47" i="6"/>
  <c r="G314" i="1"/>
  <c r="G320" i="1"/>
  <c r="G265" i="1"/>
  <c r="G328" i="1"/>
  <c r="G51" i="6"/>
  <c r="G332" i="1"/>
  <c r="G334" i="1"/>
  <c r="G339" i="1"/>
  <c r="G327" i="1"/>
  <c r="G342" i="1"/>
  <c r="G345" i="1"/>
  <c r="G349" i="1"/>
  <c r="G355" i="1"/>
  <c r="G58" i="6"/>
  <c r="F76" i="1"/>
  <c r="F83" i="1"/>
  <c r="F90" i="1"/>
  <c r="F12" i="6"/>
  <c r="F96" i="1"/>
  <c r="F99" i="1"/>
  <c r="F106" i="1"/>
  <c r="F123" i="1"/>
  <c r="F17" i="6"/>
  <c r="F141" i="1"/>
  <c r="F147" i="1"/>
  <c r="F20" i="6"/>
  <c r="F157" i="1"/>
  <c r="F161" i="1"/>
  <c r="F23" i="6"/>
  <c r="F165" i="1"/>
  <c r="F168" i="1"/>
  <c r="F171" i="1"/>
  <c r="F174" i="1"/>
  <c r="F27" i="6"/>
  <c r="F182" i="1"/>
  <c r="F187" i="1"/>
  <c r="F191" i="1"/>
  <c r="F156" i="1"/>
  <c r="F202" i="1"/>
  <c r="F208" i="1"/>
  <c r="F216" i="1"/>
  <c r="F34" i="6"/>
  <c r="F228" i="1"/>
  <c r="F35" i="6"/>
  <c r="F241" i="1"/>
  <c r="F249" i="1"/>
  <c r="F255" i="1"/>
  <c r="F201" i="1"/>
  <c r="F261" i="1"/>
  <c r="F39" i="6"/>
  <c r="F266" i="1"/>
  <c r="F275" i="1"/>
  <c r="F42" i="6"/>
  <c r="F282" i="1"/>
  <c r="F291" i="1"/>
  <c r="F303" i="1"/>
  <c r="F306" i="1"/>
  <c r="F46" i="6"/>
  <c r="F309" i="1"/>
  <c r="F47" i="6"/>
  <c r="F314" i="1"/>
  <c r="F320" i="1"/>
  <c r="F328" i="1"/>
  <c r="F51" i="6"/>
  <c r="F332" i="1"/>
  <c r="F334" i="1"/>
  <c r="F339" i="1"/>
  <c r="F54" i="6"/>
  <c r="F342" i="1"/>
  <c r="F55" i="6"/>
  <c r="F345" i="1"/>
  <c r="F349" i="1"/>
  <c r="F355" i="1"/>
  <c r="F327" i="1"/>
  <c r="E76" i="1"/>
  <c r="E10" i="6"/>
  <c r="E83" i="1"/>
  <c r="E11" i="6"/>
  <c r="K11" i="6"/>
  <c r="E90" i="1"/>
  <c r="E96" i="1"/>
  <c r="E99" i="1"/>
  <c r="E106" i="1"/>
  <c r="E15" i="6"/>
  <c r="E123" i="1"/>
  <c r="E141" i="1"/>
  <c r="E147" i="1"/>
  <c r="E75" i="1"/>
  <c r="E157" i="1"/>
  <c r="E161" i="1"/>
  <c r="E165" i="1"/>
  <c r="E24" i="6"/>
  <c r="E168" i="1"/>
  <c r="E171" i="1"/>
  <c r="E174" i="1"/>
  <c r="E182" i="1"/>
  <c r="E28" i="6"/>
  <c r="E187" i="1"/>
  <c r="E29" i="6"/>
  <c r="K29" i="6"/>
  <c r="E191" i="1"/>
  <c r="E202" i="1"/>
  <c r="E208" i="1"/>
  <c r="E216" i="1"/>
  <c r="E228" i="1"/>
  <c r="E35" i="6"/>
  <c r="E241" i="1"/>
  <c r="E249" i="1"/>
  <c r="E37" i="6"/>
  <c r="E255" i="1"/>
  <c r="E261" i="1"/>
  <c r="E39" i="8"/>
  <c r="E266" i="1"/>
  <c r="E275" i="1"/>
  <c r="E282" i="1"/>
  <c r="E43" i="6"/>
  <c r="E291" i="1"/>
  <c r="E303" i="1"/>
  <c r="E45" i="6"/>
  <c r="E306" i="1"/>
  <c r="E309" i="1"/>
  <c r="E314" i="1"/>
  <c r="E48" i="6"/>
  <c r="E320" i="1"/>
  <c r="E49" i="6"/>
  <c r="E328" i="1"/>
  <c r="E332" i="1"/>
  <c r="E327" i="1"/>
  <c r="E334" i="1"/>
  <c r="E339" i="1"/>
  <c r="E342" i="1"/>
  <c r="E345" i="1"/>
  <c r="E56" i="6"/>
  <c r="E349" i="1"/>
  <c r="E57" i="6"/>
  <c r="E355" i="1"/>
  <c r="D76" i="1"/>
  <c r="D83" i="1"/>
  <c r="D90" i="1"/>
  <c r="D96" i="1"/>
  <c r="D99" i="1"/>
  <c r="D14" i="6"/>
  <c r="D106" i="1"/>
  <c r="D123" i="1"/>
  <c r="D141" i="1"/>
  <c r="D147" i="1"/>
  <c r="D20" i="6"/>
  <c r="D157" i="1"/>
  <c r="D161" i="1"/>
  <c r="D165" i="1"/>
  <c r="D168" i="1"/>
  <c r="D171" i="1"/>
  <c r="D174" i="1"/>
  <c r="D182" i="1"/>
  <c r="D187" i="1"/>
  <c r="D191" i="1"/>
  <c r="D202" i="1"/>
  <c r="D32" i="6"/>
  <c r="D208" i="1"/>
  <c r="D216" i="1"/>
  <c r="D228" i="1"/>
  <c r="D241" i="1"/>
  <c r="D36" i="6"/>
  <c r="D249" i="1"/>
  <c r="D37" i="6"/>
  <c r="D255" i="1"/>
  <c r="D38" i="6"/>
  <c r="D261" i="1"/>
  <c r="D39" i="6"/>
  <c r="D266" i="1"/>
  <c r="D275" i="1"/>
  <c r="D42" i="6"/>
  <c r="D282" i="1"/>
  <c r="D291" i="1"/>
  <c r="D44" i="6"/>
  <c r="D303" i="1"/>
  <c r="D45" i="6"/>
  <c r="D306" i="1"/>
  <c r="D46" i="6"/>
  <c r="D309" i="1"/>
  <c r="D314" i="1"/>
  <c r="D48" i="6"/>
  <c r="D320" i="1"/>
  <c r="D265" i="1"/>
  <c r="D328" i="1"/>
  <c r="D332" i="1"/>
  <c r="D52" i="6"/>
  <c r="K52" i="6"/>
  <c r="D334" i="1"/>
  <c r="D53" i="6"/>
  <c r="D339" i="1"/>
  <c r="D54" i="6"/>
  <c r="D342" i="1"/>
  <c r="D345" i="1"/>
  <c r="D349" i="1"/>
  <c r="D57" i="6"/>
  <c r="D355" i="1"/>
  <c r="C76" i="1"/>
  <c r="C83" i="1"/>
  <c r="C90" i="1"/>
  <c r="C12" i="6"/>
  <c r="C96" i="1"/>
  <c r="C99" i="1"/>
  <c r="C106" i="1"/>
  <c r="C123" i="1"/>
  <c r="C17" i="6"/>
  <c r="C141" i="1"/>
  <c r="C19" i="6"/>
  <c r="C147" i="1"/>
  <c r="C157" i="1"/>
  <c r="C156" i="1"/>
  <c r="C161" i="1"/>
  <c r="C165" i="1"/>
  <c r="C168" i="1"/>
  <c r="C171" i="1"/>
  <c r="C26" i="6"/>
  <c r="C174" i="1"/>
  <c r="C182" i="1"/>
  <c r="C187" i="1"/>
  <c r="C191" i="1"/>
  <c r="C30" i="6"/>
  <c r="K30" i="6"/>
  <c r="C202" i="1"/>
  <c r="C208" i="1"/>
  <c r="C216" i="1"/>
  <c r="C201" i="1"/>
  <c r="C228" i="1"/>
  <c r="C35" i="6"/>
  <c r="C241" i="1"/>
  <c r="C249" i="1"/>
  <c r="C37" i="6"/>
  <c r="C255" i="1"/>
  <c r="C261" i="1"/>
  <c r="C266" i="1"/>
  <c r="C275" i="1"/>
  <c r="C282" i="1"/>
  <c r="C43" i="6"/>
  <c r="C291" i="1"/>
  <c r="C303" i="1"/>
  <c r="C306" i="1"/>
  <c r="C46" i="6"/>
  <c r="C309" i="1"/>
  <c r="C47" i="6"/>
  <c r="C314" i="1"/>
  <c r="C320" i="1"/>
  <c r="C265" i="1"/>
  <c r="C328" i="1"/>
  <c r="C332" i="1"/>
  <c r="C334" i="1"/>
  <c r="C339" i="1"/>
  <c r="C327" i="1"/>
  <c r="C342" i="1"/>
  <c r="C345" i="1"/>
  <c r="C349" i="1"/>
  <c r="C355" i="1"/>
  <c r="C58" i="6"/>
  <c r="C39" i="8"/>
  <c r="D39" i="8"/>
  <c r="F39" i="8"/>
  <c r="G39" i="8"/>
  <c r="H39" i="8"/>
  <c r="J39" i="8"/>
  <c r="C39" i="6"/>
  <c r="E39" i="6"/>
  <c r="G39" i="6"/>
  <c r="H39" i="6"/>
  <c r="D58" i="6"/>
  <c r="E58" i="6"/>
  <c r="F58" i="6"/>
  <c r="H58" i="6"/>
  <c r="I58" i="6"/>
  <c r="J58" i="6"/>
  <c r="C57" i="6"/>
  <c r="K57" i="6"/>
  <c r="F57" i="6"/>
  <c r="G57" i="6"/>
  <c r="I57" i="6"/>
  <c r="J57" i="6"/>
  <c r="C56" i="6"/>
  <c r="D56" i="6"/>
  <c r="F56" i="6"/>
  <c r="G56" i="6"/>
  <c r="H56" i="6"/>
  <c r="J56" i="6"/>
  <c r="C55" i="6"/>
  <c r="D55" i="6"/>
  <c r="E55" i="6"/>
  <c r="G55" i="6"/>
  <c r="H55" i="6"/>
  <c r="I55" i="6"/>
  <c r="C54" i="6"/>
  <c r="E54" i="6"/>
  <c r="G54" i="6"/>
  <c r="I54" i="6"/>
  <c r="C53" i="6"/>
  <c r="E53" i="6"/>
  <c r="F53" i="6"/>
  <c r="G53" i="6"/>
  <c r="I53" i="6"/>
  <c r="J53" i="6"/>
  <c r="C52" i="6"/>
  <c r="E52" i="6"/>
  <c r="F52" i="6"/>
  <c r="G52" i="6"/>
  <c r="H52" i="6"/>
  <c r="I52" i="6"/>
  <c r="J52" i="6"/>
  <c r="C51" i="6"/>
  <c r="D51" i="6"/>
  <c r="E51" i="6"/>
  <c r="K51" i="6"/>
  <c r="H51" i="6"/>
  <c r="I51" i="6"/>
  <c r="C49" i="6"/>
  <c r="D49" i="6"/>
  <c r="K49" i="6"/>
  <c r="F49" i="6"/>
  <c r="G49" i="6"/>
  <c r="J49" i="6"/>
  <c r="C48" i="6"/>
  <c r="K48" i="6"/>
  <c r="F48" i="6"/>
  <c r="G48" i="6"/>
  <c r="I48" i="6"/>
  <c r="J48" i="6"/>
  <c r="D47" i="6"/>
  <c r="E47" i="6"/>
  <c r="H47" i="6"/>
  <c r="I47" i="6"/>
  <c r="J47" i="6"/>
  <c r="E46" i="6"/>
  <c r="G46" i="6"/>
  <c r="I46" i="6"/>
  <c r="C45" i="6"/>
  <c r="F45" i="6"/>
  <c r="G45" i="6"/>
  <c r="H45" i="6"/>
  <c r="J45" i="6"/>
  <c r="C44" i="6"/>
  <c r="E44" i="6"/>
  <c r="F44" i="6"/>
  <c r="G44" i="6"/>
  <c r="I44" i="6"/>
  <c r="J44" i="6"/>
  <c r="D43" i="6"/>
  <c r="F43" i="6"/>
  <c r="H43" i="6"/>
  <c r="I43" i="6"/>
  <c r="C42" i="6"/>
  <c r="K42" i="6"/>
  <c r="E42" i="6"/>
  <c r="H42" i="6"/>
  <c r="I42" i="6"/>
  <c r="C41" i="6"/>
  <c r="D41" i="6"/>
  <c r="F41" i="6"/>
  <c r="G41" i="6"/>
  <c r="H41" i="6"/>
  <c r="J41" i="6"/>
  <c r="C38" i="6"/>
  <c r="E38" i="6"/>
  <c r="F38" i="6"/>
  <c r="K38" i="6"/>
  <c r="I38" i="6"/>
  <c r="J38" i="6"/>
  <c r="F37" i="6"/>
  <c r="H37" i="6"/>
  <c r="J37" i="6"/>
  <c r="C36" i="6"/>
  <c r="E36" i="6"/>
  <c r="F36" i="6"/>
  <c r="G36" i="6"/>
  <c r="I36" i="6"/>
  <c r="J36" i="6"/>
  <c r="K36" i="6"/>
  <c r="D35" i="6"/>
  <c r="H35" i="6"/>
  <c r="I35" i="6"/>
  <c r="C34" i="6"/>
  <c r="D34" i="6"/>
  <c r="E34" i="6"/>
  <c r="K34" i="6"/>
  <c r="G34" i="6"/>
  <c r="H34" i="6"/>
  <c r="I34" i="6"/>
  <c r="C33" i="6"/>
  <c r="D33" i="6"/>
  <c r="F33" i="6"/>
  <c r="G33" i="6"/>
  <c r="H33" i="6"/>
  <c r="J33" i="6"/>
  <c r="C32" i="6"/>
  <c r="E32" i="6"/>
  <c r="F32" i="6"/>
  <c r="G32" i="6"/>
  <c r="I32" i="6"/>
  <c r="J32" i="6"/>
  <c r="K32" i="6"/>
  <c r="D30" i="6"/>
  <c r="E30" i="6"/>
  <c r="F30" i="6"/>
  <c r="H30" i="6"/>
  <c r="I30" i="6"/>
  <c r="J30" i="6"/>
  <c r="C29" i="6"/>
  <c r="D29" i="6"/>
  <c r="F29" i="6"/>
  <c r="G29" i="6"/>
  <c r="H29" i="6"/>
  <c r="I29" i="6"/>
  <c r="J29" i="6"/>
  <c r="C28" i="6"/>
  <c r="D28" i="6"/>
  <c r="K28" i="6"/>
  <c r="F28" i="6"/>
  <c r="G28" i="6"/>
  <c r="H28" i="6"/>
  <c r="J28" i="6"/>
  <c r="C27" i="6"/>
  <c r="D27" i="6"/>
  <c r="E27" i="6"/>
  <c r="G27" i="6"/>
  <c r="H27" i="6"/>
  <c r="I27" i="6"/>
  <c r="D26" i="6"/>
  <c r="E26" i="6"/>
  <c r="F26" i="6"/>
  <c r="H26" i="6"/>
  <c r="I26" i="6"/>
  <c r="J26" i="6"/>
  <c r="C25" i="6"/>
  <c r="D25" i="6"/>
  <c r="E25" i="6"/>
  <c r="F25" i="6"/>
  <c r="G25" i="6"/>
  <c r="H25" i="6"/>
  <c r="I25" i="6"/>
  <c r="J25" i="6"/>
  <c r="C24" i="6"/>
  <c r="D24" i="6"/>
  <c r="F24" i="6"/>
  <c r="G24" i="6"/>
  <c r="H24" i="6"/>
  <c r="J24" i="6"/>
  <c r="C23" i="6"/>
  <c r="K23" i="6"/>
  <c r="D23" i="6"/>
  <c r="E23" i="6"/>
  <c r="G23" i="6"/>
  <c r="H23" i="6"/>
  <c r="I23" i="6"/>
  <c r="D22" i="6"/>
  <c r="E22" i="6"/>
  <c r="F22" i="6"/>
  <c r="H22" i="6"/>
  <c r="I22" i="6"/>
  <c r="J22" i="6"/>
  <c r="C11" i="6"/>
  <c r="D11" i="6"/>
  <c r="F11" i="6"/>
  <c r="G11" i="6"/>
  <c r="H11" i="6"/>
  <c r="I11" i="6"/>
  <c r="J11" i="6"/>
  <c r="D12" i="6"/>
  <c r="E12" i="6"/>
  <c r="G12" i="6"/>
  <c r="H12" i="6"/>
  <c r="I12" i="6"/>
  <c r="C13" i="6"/>
  <c r="D13" i="6"/>
  <c r="E13" i="6"/>
  <c r="F13" i="6"/>
  <c r="G13" i="6"/>
  <c r="H13" i="6"/>
  <c r="I13" i="6"/>
  <c r="J13" i="6"/>
  <c r="K13" i="6"/>
  <c r="C14" i="6"/>
  <c r="E14" i="6"/>
  <c r="F14" i="6"/>
  <c r="G14" i="6"/>
  <c r="I14" i="6"/>
  <c r="J14" i="6"/>
  <c r="C15" i="6"/>
  <c r="D15" i="6"/>
  <c r="F15" i="6"/>
  <c r="G15" i="6"/>
  <c r="H15" i="6"/>
  <c r="I15" i="6"/>
  <c r="J15" i="6"/>
  <c r="D17" i="6"/>
  <c r="E17" i="6"/>
  <c r="G17" i="6"/>
  <c r="H17" i="6"/>
  <c r="I17" i="6"/>
  <c r="D18" i="6"/>
  <c r="E18" i="6"/>
  <c r="F18" i="6"/>
  <c r="H18" i="6"/>
  <c r="I18" i="6"/>
  <c r="J18" i="6"/>
  <c r="D19" i="6"/>
  <c r="E19" i="6"/>
  <c r="F19" i="6"/>
  <c r="H19" i="6"/>
  <c r="I19" i="6"/>
  <c r="J19" i="6"/>
  <c r="C20" i="6"/>
  <c r="E20" i="6"/>
  <c r="G20" i="6"/>
  <c r="I20" i="6"/>
  <c r="C10" i="6"/>
  <c r="F10" i="6"/>
  <c r="G10" i="6"/>
  <c r="J10" i="6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I19" i="4"/>
  <c r="I18" i="4"/>
  <c r="I17" i="4"/>
  <c r="I16" i="4"/>
  <c r="I15" i="4"/>
  <c r="N14" i="4"/>
  <c r="M14" i="4"/>
  <c r="L14" i="4"/>
  <c r="K14" i="4"/>
  <c r="J14" i="4"/>
  <c r="K275" i="1"/>
  <c r="K64" i="1"/>
  <c r="E3" i="6"/>
  <c r="K56" i="6"/>
  <c r="K27" i="6"/>
  <c r="K45" i="6"/>
  <c r="K35" i="6"/>
  <c r="K26" i="6"/>
  <c r="E156" i="1"/>
  <c r="E74" i="1"/>
  <c r="K15" i="6"/>
  <c r="H75" i="1"/>
  <c r="H10" i="6"/>
  <c r="I201" i="1"/>
  <c r="I33" i="6"/>
  <c r="J265" i="1"/>
  <c r="J43" i="6"/>
  <c r="K25" i="6"/>
  <c r="D14" i="1"/>
  <c r="D6" i="6"/>
  <c r="F6" i="6"/>
  <c r="F14" i="1"/>
  <c r="H14" i="1"/>
  <c r="H6" i="6"/>
  <c r="J6" i="6"/>
  <c r="J14" i="1"/>
  <c r="C7" i="6"/>
  <c r="C14" i="1"/>
  <c r="C365" i="1"/>
  <c r="C64" i="6"/>
  <c r="E14" i="1"/>
  <c r="E365" i="1"/>
  <c r="E64" i="6"/>
  <c r="E7" i="6"/>
  <c r="F7" i="6"/>
  <c r="G7" i="6"/>
  <c r="G14" i="1"/>
  <c r="K18" i="6"/>
  <c r="K33" i="6"/>
  <c r="K44" i="6"/>
  <c r="K55" i="6"/>
  <c r="K39" i="8"/>
  <c r="K17" i="6"/>
  <c r="K12" i="6"/>
  <c r="I156" i="1"/>
  <c r="I74" i="1"/>
  <c r="I365" i="1"/>
  <c r="I64" i="6"/>
  <c r="K266" i="1"/>
  <c r="K191" i="1"/>
  <c r="K83" i="1"/>
  <c r="K75" i="1"/>
  <c r="K29" i="1"/>
  <c r="K24" i="6"/>
  <c r="K41" i="6"/>
  <c r="K53" i="6"/>
  <c r="K20" i="6"/>
  <c r="K14" i="6"/>
  <c r="D75" i="1"/>
  <c r="E201" i="1"/>
  <c r="E33" i="6"/>
  <c r="F265" i="1"/>
  <c r="I265" i="1"/>
  <c r="I41" i="6"/>
  <c r="K282" i="1"/>
  <c r="K168" i="1"/>
  <c r="F62" i="6"/>
  <c r="F3" i="8"/>
  <c r="D10" i="6"/>
  <c r="K58" i="6"/>
  <c r="K46" i="6"/>
  <c r="K19" i="6"/>
  <c r="K54" i="6"/>
  <c r="K37" i="6"/>
  <c r="E265" i="1"/>
  <c r="E41" i="6"/>
  <c r="G75" i="1"/>
  <c r="G74" i="1"/>
  <c r="K320" i="1"/>
  <c r="K309" i="1"/>
  <c r="K291" i="1"/>
  <c r="K182" i="1"/>
  <c r="K90" i="1"/>
  <c r="K15" i="1"/>
  <c r="K14" i="1"/>
  <c r="K3" i="1"/>
  <c r="J3" i="6"/>
  <c r="D7" i="6"/>
  <c r="I7" i="6"/>
  <c r="G22" i="6"/>
  <c r="C22" i="6"/>
  <c r="I39" i="6"/>
  <c r="K39" i="6"/>
  <c r="C75" i="1"/>
  <c r="C74" i="1"/>
  <c r="K216" i="1"/>
  <c r="K202" i="1"/>
  <c r="K165" i="1"/>
  <c r="K156" i="1"/>
  <c r="K147" i="1"/>
  <c r="K16" i="6"/>
  <c r="K47" i="6"/>
  <c r="K43" i="6"/>
  <c r="D201" i="1"/>
  <c r="H201" i="1"/>
  <c r="D327" i="1"/>
  <c r="D156" i="1"/>
  <c r="F75" i="1"/>
  <c r="F74" i="1"/>
  <c r="H327" i="1"/>
  <c r="H156" i="1"/>
  <c r="J75" i="1"/>
  <c r="J74" i="1"/>
  <c r="J365" i="1"/>
  <c r="J64" i="6"/>
  <c r="K328" i="1"/>
  <c r="K327" i="1"/>
  <c r="K314" i="1"/>
  <c r="K208" i="1"/>
  <c r="K8" i="1"/>
  <c r="F365" i="1"/>
  <c r="F64" i="6"/>
  <c r="K201" i="1"/>
  <c r="K22" i="6"/>
  <c r="I62" i="6"/>
  <c r="K7" i="6"/>
  <c r="D365" i="1"/>
  <c r="D64" i="6"/>
  <c r="H74" i="1"/>
  <c r="H365" i="1"/>
  <c r="H64" i="6"/>
  <c r="H62" i="6"/>
  <c r="K6" i="6"/>
  <c r="D62" i="6"/>
  <c r="E3" i="8"/>
  <c r="E62" i="6"/>
  <c r="K3" i="6"/>
  <c r="G62" i="6"/>
  <c r="K10" i="6"/>
  <c r="C62" i="6"/>
  <c r="K265" i="1"/>
  <c r="K4" i="8"/>
  <c r="K4" i="6"/>
  <c r="K74" i="1"/>
  <c r="K365" i="1"/>
  <c r="K64" i="6"/>
  <c r="J3" i="8"/>
  <c r="J62" i="6"/>
  <c r="D74" i="1"/>
  <c r="G365" i="1"/>
  <c r="G64" i="6"/>
  <c r="K62" i="6"/>
  <c r="C34" i="5"/>
  <c r="N57" i="5"/>
  <c r="N58" i="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81" i="15"/>
  <c r="D382" i="15"/>
  <c r="D383" i="15"/>
  <c r="D384" i="15"/>
  <c r="D385" i="15"/>
  <c r="D386" i="15"/>
  <c r="D387" i="15"/>
  <c r="D388" i="15"/>
  <c r="D389" i="15"/>
  <c r="D390" i="15"/>
  <c r="D391" i="15"/>
  <c r="D392" i="15"/>
  <c r="D393" i="15"/>
  <c r="D394" i="15"/>
  <c r="D395" i="15"/>
  <c r="D396" i="15"/>
  <c r="D397" i="15"/>
  <c r="D398" i="15"/>
  <c r="D399" i="15"/>
  <c r="D400" i="15"/>
  <c r="D401" i="15"/>
  <c r="D402" i="15"/>
  <c r="D403" i="15"/>
  <c r="D404" i="15"/>
  <c r="D405" i="15"/>
  <c r="D406" i="15"/>
  <c r="D407" i="15"/>
  <c r="D408" i="15"/>
  <c r="D409" i="15"/>
  <c r="D410" i="15"/>
  <c r="D411" i="15"/>
  <c r="D412" i="15"/>
  <c r="D413" i="15"/>
  <c r="D414" i="15"/>
  <c r="D415" i="15"/>
  <c r="D416" i="15"/>
  <c r="D417" i="15"/>
  <c r="D418" i="15"/>
  <c r="D419" i="15"/>
  <c r="D420" i="15"/>
  <c r="D421" i="15"/>
  <c r="D422" i="15"/>
  <c r="D423" i="15"/>
  <c r="D424" i="15"/>
  <c r="D425" i="15"/>
  <c r="D426" i="15"/>
  <c r="D427" i="15"/>
  <c r="D428" i="15"/>
  <c r="D429" i="15"/>
  <c r="D430" i="15"/>
  <c r="D431" i="15"/>
  <c r="D432" i="15"/>
  <c r="D433" i="15"/>
  <c r="D434" i="15"/>
  <c r="D435" i="15"/>
  <c r="D436" i="15"/>
  <c r="D437" i="15"/>
  <c r="D438" i="15"/>
  <c r="D439" i="15"/>
  <c r="D440" i="15"/>
  <c r="D441" i="15"/>
  <c r="D442" i="15"/>
  <c r="D443" i="15"/>
  <c r="D444" i="15"/>
  <c r="D445" i="15"/>
  <c r="D446" i="15"/>
  <c r="D447" i="15"/>
  <c r="D448" i="15"/>
  <c r="D449" i="15"/>
  <c r="D450" i="15"/>
  <c r="D451" i="15"/>
  <c r="D452" i="15"/>
  <c r="D453" i="15"/>
  <c r="D454" i="15"/>
  <c r="D455" i="15"/>
  <c r="D456" i="15"/>
  <c r="D457" i="15"/>
  <c r="D458" i="15"/>
  <c r="D459" i="15"/>
  <c r="D460" i="15"/>
  <c r="D461" i="15"/>
  <c r="D462" i="15"/>
  <c r="D463" i="15"/>
  <c r="D464" i="15"/>
  <c r="D466" i="15"/>
  <c r="D465" i="15"/>
  <c r="E17" i="4"/>
  <c r="I17" i="15"/>
  <c r="I18" i="15"/>
  <c r="I11" i="15"/>
  <c r="I20" i="15"/>
  <c r="I13" i="15"/>
  <c r="I10" i="15"/>
  <c r="I12" i="15"/>
  <c r="E15" i="4"/>
  <c r="E16" i="4"/>
  <c r="E18" i="4"/>
  <c r="E19" i="4"/>
  <c r="I19" i="15"/>
  <c r="D11" i="7" l="1"/>
  <c r="D12" i="7"/>
  <c r="C12" i="8"/>
  <c r="D13" i="7"/>
  <c r="D13" i="8" s="1"/>
  <c r="C10" i="7"/>
  <c r="C13" i="7"/>
  <c r="D19" i="7"/>
  <c r="D19" i="8" s="1"/>
  <c r="D20" i="7"/>
  <c r="D20" i="8" s="1"/>
  <c r="D45" i="7"/>
  <c r="D45" i="8" s="1"/>
  <c r="D46" i="7"/>
  <c r="D46" i="8" s="1"/>
  <c r="C20" i="8"/>
  <c r="C45" i="8"/>
  <c r="C46" i="8"/>
  <c r="G46" i="8"/>
  <c r="C55" i="8"/>
  <c r="D55" i="7"/>
  <c r="D55" i="8" s="1"/>
  <c r="D54" i="7"/>
  <c r="D54" i="8" s="1"/>
  <c r="D14" i="7"/>
  <c r="D14" i="8" s="1"/>
  <c r="D15" i="7"/>
  <c r="D15" i="8" s="1"/>
  <c r="D16" i="7"/>
  <c r="D16" i="8" s="1"/>
  <c r="D22" i="7"/>
  <c r="D22" i="8" s="1"/>
  <c r="D23" i="7"/>
  <c r="D23" i="8" s="1"/>
  <c r="D24" i="7"/>
  <c r="D24" i="8" s="1"/>
  <c r="D25" i="7"/>
  <c r="D25" i="8" s="1"/>
  <c r="D26" i="7"/>
  <c r="D26" i="8" s="1"/>
  <c r="D27" i="7"/>
  <c r="D27" i="8" s="1"/>
  <c r="D28" i="8"/>
  <c r="D29" i="7"/>
  <c r="D29" i="8" s="1"/>
  <c r="D30" i="7"/>
  <c r="D30" i="8" s="1"/>
  <c r="D39" i="7"/>
  <c r="F14" i="7"/>
  <c r="F14" i="8" s="1"/>
  <c r="C14" i="8"/>
  <c r="C15" i="8"/>
  <c r="C16" i="8"/>
  <c r="C22" i="8"/>
  <c r="C23" i="8"/>
  <c r="C24" i="8"/>
  <c r="C26" i="8"/>
  <c r="C29" i="8"/>
  <c r="C30" i="8"/>
  <c r="D6" i="7"/>
  <c r="D6" i="8" s="1"/>
  <c r="H6" i="7"/>
  <c r="H6" i="8" s="1"/>
  <c r="D7" i="7"/>
  <c r="D7" i="8" s="1"/>
  <c r="H7" i="7"/>
  <c r="H7" i="8" s="1"/>
  <c r="F6" i="7"/>
  <c r="F6" i="8" s="1"/>
  <c r="J6" i="8"/>
  <c r="F7" i="8"/>
  <c r="J7" i="7"/>
  <c r="J7" i="8" s="1"/>
  <c r="C6" i="7"/>
  <c r="C6" i="8" s="1"/>
  <c r="C7" i="7"/>
  <c r="C7" i="8" s="1"/>
  <c r="G6" i="8"/>
  <c r="I7" i="7"/>
  <c r="I7" i="8" s="1"/>
  <c r="E6" i="7"/>
  <c r="E6" i="8" s="1"/>
  <c r="E7" i="7"/>
  <c r="E7" i="8" s="1"/>
  <c r="G7" i="8"/>
  <c r="I6" i="7"/>
  <c r="I6" i="8" s="1"/>
  <c r="D18" i="7"/>
  <c r="C18" i="8"/>
  <c r="D4" i="7"/>
  <c r="D4" i="8" s="1"/>
  <c r="F4" i="7"/>
  <c r="F4" i="8" s="1"/>
  <c r="J4" i="7"/>
  <c r="J4" i="8" s="1"/>
  <c r="C4" i="8"/>
  <c r="I4" i="8"/>
  <c r="E4" i="7"/>
  <c r="E4" i="8" s="1"/>
  <c r="G4" i="8"/>
  <c r="D17" i="7"/>
  <c r="C17" i="8"/>
  <c r="D32" i="7"/>
  <c r="D41" i="7"/>
  <c r="C41" i="8"/>
  <c r="D33" i="7"/>
  <c r="D34" i="7"/>
  <c r="D35" i="7"/>
  <c r="D36" i="7"/>
  <c r="D37" i="7"/>
  <c r="D38" i="7"/>
  <c r="D42" i="7"/>
  <c r="D43" i="7"/>
  <c r="D44" i="7"/>
  <c r="D47" i="7"/>
  <c r="D48" i="7"/>
  <c r="D49" i="7"/>
  <c r="D49" i="8" s="1"/>
  <c r="H49" i="7"/>
  <c r="H49" i="8" s="1"/>
  <c r="D51" i="7"/>
  <c r="D52" i="7"/>
  <c r="D53" i="7"/>
  <c r="J49" i="8"/>
  <c r="C33" i="8"/>
  <c r="C34" i="8"/>
  <c r="C35" i="8"/>
  <c r="C36" i="8"/>
  <c r="C38" i="8"/>
  <c r="C42" i="8"/>
  <c r="C43" i="8"/>
  <c r="C44" i="8"/>
  <c r="C47" i="8"/>
  <c r="C48" i="8"/>
  <c r="C49" i="8"/>
  <c r="C52" i="8"/>
  <c r="C58" i="8"/>
  <c r="C56" i="8"/>
  <c r="C57" i="8"/>
  <c r="D57" i="7"/>
  <c r="D56" i="7"/>
  <c r="D58" i="7"/>
  <c r="H4" i="8"/>
  <c r="J11" i="15"/>
  <c r="J10" i="15"/>
  <c r="J13" i="15"/>
  <c r="J12" i="15"/>
  <c r="E26" i="4"/>
  <c r="K60" i="8" s="1"/>
  <c r="F16" i="4"/>
  <c r="F15" i="4"/>
  <c r="F34" i="7" s="1"/>
  <c r="F17" i="4"/>
  <c r="H11" i="7" s="1"/>
  <c r="F18" i="4"/>
  <c r="F19" i="4"/>
  <c r="D10" i="8"/>
  <c r="I38" i="8" l="1"/>
  <c r="G20" i="8"/>
  <c r="H53" i="7"/>
  <c r="H53" i="8" s="1"/>
  <c r="I32" i="7"/>
  <c r="I32" i="8" s="1"/>
  <c r="I14" i="7"/>
  <c r="G37" i="8"/>
  <c r="I45" i="8"/>
  <c r="G52" i="8"/>
  <c r="G38" i="7"/>
  <c r="G38" i="8" s="1"/>
  <c r="I28" i="7"/>
  <c r="I28" i="8" s="1"/>
  <c r="G25" i="8"/>
  <c r="I20" i="7"/>
  <c r="I20" i="8" s="1"/>
  <c r="G19" i="8"/>
  <c r="H58" i="7"/>
  <c r="H58" i="8" s="1"/>
  <c r="G17" i="8"/>
  <c r="G24" i="8"/>
  <c r="I19" i="7"/>
  <c r="I19" i="8" s="1"/>
  <c r="G10" i="8"/>
  <c r="I51" i="8"/>
  <c r="G51" i="8"/>
  <c r="I39" i="7"/>
  <c r="I15" i="7"/>
  <c r="I15" i="8" s="1"/>
  <c r="G12" i="8"/>
  <c r="I36" i="8"/>
  <c r="G58" i="7"/>
  <c r="G58" i="8" s="1"/>
  <c r="G44" i="7"/>
  <c r="G44" i="8" s="1"/>
  <c r="G56" i="8"/>
  <c r="G33" i="7"/>
  <c r="G33" i="8" s="1"/>
  <c r="I27" i="7"/>
  <c r="I27" i="8" s="1"/>
  <c r="I25" i="8"/>
  <c r="G15" i="8"/>
  <c r="G16" i="8"/>
  <c r="G13" i="8"/>
  <c r="I33" i="8"/>
  <c r="I44" i="7"/>
  <c r="I44" i="8" s="1"/>
  <c r="I47" i="8"/>
  <c r="G34" i="7"/>
  <c r="G34" i="8" s="1"/>
  <c r="G47" i="8"/>
  <c r="G41" i="7"/>
  <c r="G41" i="8" s="1"/>
  <c r="I26" i="8"/>
  <c r="G29" i="8"/>
  <c r="G28" i="8"/>
  <c r="H54" i="7"/>
  <c r="H54" i="8" s="1"/>
  <c r="G54" i="8"/>
  <c r="G11" i="8"/>
  <c r="F57" i="7"/>
  <c r="F57" i="8" s="1"/>
  <c r="E53" i="7"/>
  <c r="E53" i="8" s="1"/>
  <c r="E48" i="7"/>
  <c r="E48" i="8" s="1"/>
  <c r="E42" i="7"/>
  <c r="E42" i="8" s="1"/>
  <c r="E35" i="7"/>
  <c r="E35" i="8" s="1"/>
  <c r="E57" i="7"/>
  <c r="E41" i="7"/>
  <c r="E41" i="8" s="1"/>
  <c r="F32" i="7"/>
  <c r="F32" i="8" s="1"/>
  <c r="E30" i="7"/>
  <c r="E30" i="8" s="1"/>
  <c r="E26" i="8"/>
  <c r="E22" i="7"/>
  <c r="F30" i="7"/>
  <c r="F28" i="8"/>
  <c r="F26" i="8"/>
  <c r="F24" i="8"/>
  <c r="F22" i="7"/>
  <c r="F22" i="8" s="1"/>
  <c r="F54" i="8"/>
  <c r="E19" i="7"/>
  <c r="F45" i="8"/>
  <c r="F19" i="8"/>
  <c r="E10" i="8"/>
  <c r="F10" i="8"/>
  <c r="E11" i="7"/>
  <c r="F11" i="8"/>
  <c r="C19" i="8"/>
  <c r="C25" i="8"/>
  <c r="C27" i="8"/>
  <c r="C37" i="8"/>
  <c r="C11" i="8"/>
  <c r="C51" i="8"/>
  <c r="H56" i="7"/>
  <c r="H56" i="8" s="1"/>
  <c r="I48" i="8"/>
  <c r="I37" i="8"/>
  <c r="I52" i="8"/>
  <c r="I34" i="7"/>
  <c r="I34" i="8" s="1"/>
  <c r="G42" i="7"/>
  <c r="G42" i="8" s="1"/>
  <c r="E52" i="8"/>
  <c r="E38" i="7"/>
  <c r="E38" i="8" s="1"/>
  <c r="E34" i="7"/>
  <c r="G53" i="7"/>
  <c r="G53" i="8" s="1"/>
  <c r="G43" i="7"/>
  <c r="G43" i="8" s="1"/>
  <c r="I58" i="8"/>
  <c r="I56" i="8"/>
  <c r="F52" i="8"/>
  <c r="F49" i="7"/>
  <c r="F49" i="8" s="1"/>
  <c r="F47" i="8"/>
  <c r="F43" i="7"/>
  <c r="F43" i="8" s="1"/>
  <c r="F38" i="7"/>
  <c r="F38" i="8" s="1"/>
  <c r="F36" i="7"/>
  <c r="F36" i="8" s="1"/>
  <c r="H52" i="7"/>
  <c r="H52" i="8" s="1"/>
  <c r="H47" i="7"/>
  <c r="H47" i="8" s="1"/>
  <c r="H43" i="7"/>
  <c r="H43" i="8" s="1"/>
  <c r="H38" i="7"/>
  <c r="H38" i="8" s="1"/>
  <c r="H36" i="7"/>
  <c r="H36" i="8" s="1"/>
  <c r="H34" i="7"/>
  <c r="H34" i="8" s="1"/>
  <c r="I41" i="7"/>
  <c r="I41" i="8" s="1"/>
  <c r="E32" i="7"/>
  <c r="H41" i="8"/>
  <c r="I17" i="7"/>
  <c r="I17" i="8" s="1"/>
  <c r="I18" i="7"/>
  <c r="I18" i="8" s="1"/>
  <c r="I30" i="7"/>
  <c r="I30" i="8" s="1"/>
  <c r="I29" i="7"/>
  <c r="I29" i="8" s="1"/>
  <c r="G22" i="8"/>
  <c r="E29" i="7"/>
  <c r="E29" i="8" s="1"/>
  <c r="E25" i="8"/>
  <c r="G30" i="8"/>
  <c r="G23" i="8"/>
  <c r="H30" i="7"/>
  <c r="H30" i="8" s="1"/>
  <c r="H28" i="8"/>
  <c r="H26" i="7"/>
  <c r="H26" i="8" s="1"/>
  <c r="H24" i="7"/>
  <c r="H24" i="8" s="1"/>
  <c r="H22" i="7"/>
  <c r="H22" i="8" s="1"/>
  <c r="H15" i="8"/>
  <c r="I46" i="8"/>
  <c r="G55" i="8"/>
  <c r="H46" i="7"/>
  <c r="H46" i="8" s="1"/>
  <c r="H20" i="8"/>
  <c r="I10" i="8"/>
  <c r="I13" i="8"/>
  <c r="H13" i="7"/>
  <c r="H13" i="8" s="1"/>
  <c r="I12" i="7"/>
  <c r="I12" i="8" s="1"/>
  <c r="I11" i="8"/>
  <c r="H12" i="7"/>
  <c r="H12" i="8" s="1"/>
  <c r="F58" i="7"/>
  <c r="F58" i="8" s="1"/>
  <c r="F56" i="8"/>
  <c r="E51" i="7"/>
  <c r="E51" i="8" s="1"/>
  <c r="E44" i="7"/>
  <c r="E44" i="8" s="1"/>
  <c r="E37" i="7"/>
  <c r="E37" i="8" s="1"/>
  <c r="E33" i="7"/>
  <c r="E33" i="8" s="1"/>
  <c r="E58" i="7"/>
  <c r="E58" i="8" s="1"/>
  <c r="E56" i="8"/>
  <c r="F41" i="7"/>
  <c r="F41" i="8" s="1"/>
  <c r="F17" i="7"/>
  <c r="F17" i="8" s="1"/>
  <c r="E18" i="7"/>
  <c r="E18" i="8" s="1"/>
  <c r="F18" i="8"/>
  <c r="E15" i="7"/>
  <c r="E15" i="8" s="1"/>
  <c r="F29" i="8"/>
  <c r="F27" i="8"/>
  <c r="F25" i="8"/>
  <c r="F23" i="7"/>
  <c r="F23" i="8" s="1"/>
  <c r="F16" i="8"/>
  <c r="F55" i="8"/>
  <c r="E45" i="8"/>
  <c r="E55" i="8"/>
  <c r="F46" i="8"/>
  <c r="F20" i="8"/>
  <c r="F13" i="8"/>
  <c r="F12" i="8"/>
  <c r="C54" i="8"/>
  <c r="C32" i="8"/>
  <c r="C53" i="8"/>
  <c r="I42" i="8"/>
  <c r="H57" i="7"/>
  <c r="H57" i="8" s="1"/>
  <c r="I35" i="7"/>
  <c r="I35" i="8" s="1"/>
  <c r="I49" i="8"/>
  <c r="I43" i="7"/>
  <c r="I43" i="8" s="1"/>
  <c r="G57" i="7"/>
  <c r="G57" i="8" s="1"/>
  <c r="G49" i="7"/>
  <c r="G49" i="8" s="1"/>
  <c r="G35" i="7"/>
  <c r="G35" i="8" s="1"/>
  <c r="E49" i="7"/>
  <c r="E49" i="8" s="1"/>
  <c r="E43" i="7"/>
  <c r="G48" i="7"/>
  <c r="G48" i="8" s="1"/>
  <c r="G36" i="7"/>
  <c r="G36" i="8" s="1"/>
  <c r="I57" i="8"/>
  <c r="I53" i="8"/>
  <c r="F53" i="7"/>
  <c r="F53" i="8" s="1"/>
  <c r="F51" i="8"/>
  <c r="F48" i="7"/>
  <c r="F48" i="8" s="1"/>
  <c r="F44" i="7"/>
  <c r="F44" i="8" s="1"/>
  <c r="F42" i="7"/>
  <c r="F42" i="8" s="1"/>
  <c r="F37" i="8"/>
  <c r="F35" i="7"/>
  <c r="F35" i="8" s="1"/>
  <c r="F33" i="7"/>
  <c r="F33" i="8" s="1"/>
  <c r="H51" i="7"/>
  <c r="H51" i="8" s="1"/>
  <c r="H48" i="7"/>
  <c r="H48" i="8" s="1"/>
  <c r="H44" i="7"/>
  <c r="H44" i="8" s="1"/>
  <c r="H42" i="7"/>
  <c r="H42" i="8" s="1"/>
  <c r="H37" i="7"/>
  <c r="H37" i="8" s="1"/>
  <c r="H35" i="7"/>
  <c r="H35" i="8" s="1"/>
  <c r="H33" i="7"/>
  <c r="H33" i="8" s="1"/>
  <c r="G32" i="7"/>
  <c r="G32" i="8" s="1"/>
  <c r="H32" i="8"/>
  <c r="E17" i="7"/>
  <c r="H17" i="7"/>
  <c r="H17" i="8" s="1"/>
  <c r="G18" i="8"/>
  <c r="H18" i="7"/>
  <c r="H18" i="8" s="1"/>
  <c r="I23" i="7"/>
  <c r="I23" i="8" s="1"/>
  <c r="I22" i="7"/>
  <c r="I22" i="8" s="1"/>
  <c r="I16" i="7"/>
  <c r="I16" i="8" s="1"/>
  <c r="G27" i="7"/>
  <c r="G27" i="8" s="1"/>
  <c r="E39" i="7"/>
  <c r="E27" i="8"/>
  <c r="E23" i="7"/>
  <c r="E14" i="7"/>
  <c r="E14" i="8" s="1"/>
  <c r="G26" i="8"/>
  <c r="G14" i="8"/>
  <c r="H29" i="7"/>
  <c r="H29" i="8" s="1"/>
  <c r="H27" i="7"/>
  <c r="H27" i="8" s="1"/>
  <c r="H25" i="7"/>
  <c r="H25" i="8" s="1"/>
  <c r="H23" i="7"/>
  <c r="H23" i="8" s="1"/>
  <c r="H16" i="8"/>
  <c r="H14" i="7"/>
  <c r="H14" i="8" s="1"/>
  <c r="H55" i="7"/>
  <c r="H55" i="8" s="1"/>
  <c r="E20" i="7"/>
  <c r="H45" i="7"/>
  <c r="H45" i="8" s="1"/>
  <c r="H19" i="8"/>
  <c r="E13" i="8"/>
  <c r="H10" i="8"/>
  <c r="E12" i="7"/>
  <c r="E12" i="8" s="1"/>
  <c r="G45" i="8"/>
  <c r="K6" i="8"/>
  <c r="D17" i="8"/>
  <c r="D41" i="8"/>
  <c r="D47" i="8"/>
  <c r="D42" i="8"/>
  <c r="D44" i="8"/>
  <c r="D33" i="8"/>
  <c r="C28" i="8"/>
  <c r="I54" i="8"/>
  <c r="C13" i="8"/>
  <c r="D11" i="8"/>
  <c r="D58" i="8"/>
  <c r="D56" i="8"/>
  <c r="D48" i="8"/>
  <c r="D43" i="8"/>
  <c r="D32" i="8"/>
  <c r="C10" i="8"/>
  <c r="D51" i="8"/>
  <c r="D53" i="8"/>
  <c r="D52" i="8"/>
  <c r="D35" i="8"/>
  <c r="D57" i="8"/>
  <c r="D18" i="8"/>
  <c r="D36" i="8"/>
  <c r="D34" i="8"/>
  <c r="D38" i="8"/>
  <c r="D12" i="8"/>
  <c r="D37" i="8"/>
  <c r="K7" i="8"/>
  <c r="H11" i="8"/>
  <c r="F34" i="8"/>
  <c r="J44" i="7" l="1"/>
  <c r="J44" i="8" s="1"/>
  <c r="K44" i="8" s="1"/>
  <c r="J12" i="7"/>
  <c r="J12" i="8" s="1"/>
  <c r="K12" i="8" s="1"/>
  <c r="J20" i="8"/>
  <c r="J36" i="8"/>
  <c r="J24" i="8"/>
  <c r="J46" i="8"/>
  <c r="J45" i="8"/>
  <c r="K45" i="8" s="1"/>
  <c r="J11" i="8"/>
  <c r="E36" i="8"/>
  <c r="E46" i="8"/>
  <c r="J15" i="8"/>
  <c r="J17" i="8"/>
  <c r="J22" i="8"/>
  <c r="J33" i="8"/>
  <c r="K33" i="8" s="1"/>
  <c r="J35" i="8"/>
  <c r="K35" i="8" s="1"/>
  <c r="F15" i="8"/>
  <c r="J13" i="8"/>
  <c r="K13" i="8" s="1"/>
  <c r="J43" i="8"/>
  <c r="J28" i="8"/>
  <c r="J37" i="8"/>
  <c r="K37" i="8" s="1"/>
  <c r="J58" i="8"/>
  <c r="K58" i="8" s="1"/>
  <c r="J32" i="8"/>
  <c r="J47" i="8"/>
  <c r="J54" i="8"/>
  <c r="J30" i="8"/>
  <c r="J16" i="8"/>
  <c r="J41" i="8"/>
  <c r="K41" i="8" s="1"/>
  <c r="J48" i="8"/>
  <c r="K48" i="8" s="1"/>
  <c r="E11" i="8"/>
  <c r="E17" i="8"/>
  <c r="E24" i="8"/>
  <c r="E20" i="8"/>
  <c r="J51" i="8"/>
  <c r="K51" i="8" s="1"/>
  <c r="J26" i="8"/>
  <c r="K26" i="8" s="1"/>
  <c r="J57" i="8"/>
  <c r="J53" i="8"/>
  <c r="K53" i="8" s="1"/>
  <c r="J14" i="8"/>
  <c r="J52" i="8"/>
  <c r="K52" i="8" s="1"/>
  <c r="J10" i="8"/>
  <c r="K10" i="8" s="1"/>
  <c r="J25" i="8"/>
  <c r="K25" i="8" s="1"/>
  <c r="J42" i="8"/>
  <c r="K42" i="8" s="1"/>
  <c r="J55" i="8"/>
  <c r="J18" i="8"/>
  <c r="K18" i="8" s="1"/>
  <c r="J27" i="8"/>
  <c r="K27" i="8" s="1"/>
  <c r="E43" i="8"/>
  <c r="E28" i="8"/>
  <c r="F30" i="8"/>
  <c r="E22" i="8"/>
  <c r="E19" i="8"/>
  <c r="E32" i="8"/>
  <c r="E23" i="8"/>
  <c r="J34" i="8"/>
  <c r="J29" i="8"/>
  <c r="K29" i="8" s="1"/>
  <c r="J56" i="8"/>
  <c r="K56" i="8" s="1"/>
  <c r="E47" i="8"/>
  <c r="E34" i="8"/>
  <c r="E57" i="8"/>
  <c r="E54" i="8"/>
  <c r="E16" i="8"/>
  <c r="J38" i="8"/>
  <c r="K38" i="8" s="1"/>
  <c r="J19" i="8"/>
  <c r="J23" i="8"/>
  <c r="C62" i="8"/>
  <c r="K49" i="8"/>
  <c r="G62" i="8"/>
  <c r="H62" i="8"/>
  <c r="D62" i="8"/>
  <c r="I24" i="8"/>
  <c r="I14" i="8"/>
  <c r="I55" i="8"/>
  <c r="K19" i="8" l="1"/>
  <c r="K46" i="8"/>
  <c r="F62" i="8"/>
  <c r="K15" i="8"/>
  <c r="K32" i="8"/>
  <c r="K43" i="8"/>
  <c r="K30" i="8"/>
  <c r="K20" i="8"/>
  <c r="K34" i="8"/>
  <c r="E62" i="8"/>
  <c r="K17" i="8"/>
  <c r="K57" i="8"/>
  <c r="K36" i="8"/>
  <c r="K11" i="8"/>
  <c r="K22" i="8"/>
  <c r="K47" i="8"/>
  <c r="K23" i="8"/>
  <c r="K16" i="8"/>
  <c r="K54" i="8"/>
  <c r="K28" i="8"/>
  <c r="K24" i="8"/>
  <c r="I62" i="8"/>
  <c r="K14" i="8"/>
  <c r="K55" i="8"/>
  <c r="J62" i="8"/>
  <c r="K62" i="8" l="1"/>
  <c r="C28" i="5" s="1"/>
  <c r="N8" i="5"/>
  <c r="N6" i="5"/>
  <c r="N39" i="5"/>
  <c r="N31" i="5"/>
  <c r="N23" i="5"/>
  <c r="N7" i="5"/>
  <c r="N33" i="5"/>
  <c r="N18" i="5"/>
  <c r="N32" i="5"/>
  <c r="N25" i="5"/>
  <c r="N9" i="5"/>
  <c r="N35" i="5"/>
  <c r="N16" i="5"/>
  <c r="N42" i="5"/>
  <c r="N19" i="5"/>
  <c r="C32" i="5"/>
  <c r="N30" i="5"/>
  <c r="N14" i="5"/>
  <c r="N40" i="5"/>
  <c r="N21" i="5"/>
  <c r="C31" i="5"/>
  <c r="N28" i="5"/>
  <c r="N12" i="5"/>
  <c r="N38" i="5"/>
  <c r="N15" i="5"/>
  <c r="N41" i="5"/>
  <c r="N26" i="5"/>
  <c r="N10" i="5"/>
  <c r="N36" i="5"/>
  <c r="N17" i="5"/>
  <c r="C33" i="5"/>
  <c r="N24" i="5"/>
  <c r="N34" i="5"/>
  <c r="N27" i="5"/>
  <c r="N11" i="5"/>
  <c r="N37" i="5"/>
  <c r="N22" i="5"/>
  <c r="N29" i="5"/>
  <c r="N13" i="5"/>
  <c r="N20" i="5"/>
  <c r="N47" i="5" l="1"/>
  <c r="N48" i="5" s="1"/>
  <c r="E33" i="5"/>
  <c r="D33" i="5"/>
  <c r="E31" i="5"/>
  <c r="D31" i="5"/>
  <c r="N53" i="5"/>
  <c r="N54" i="5" s="1"/>
  <c r="D32" i="5"/>
  <c r="E32" i="5"/>
  <c r="N50" i="5"/>
  <c r="N51" i="5" s="1"/>
</calcChain>
</file>

<file path=xl/comments1.xml><?xml version="1.0" encoding="utf-8"?>
<comments xmlns="http://schemas.openxmlformats.org/spreadsheetml/2006/main">
  <authors>
    <author>Dr Dale F Cooper</author>
  </authors>
  <commentList>
    <comment ref="B64" authorId="0" shapeId="0">
      <text>
        <r>
          <rPr>
            <b/>
            <sz val="9"/>
            <color indexed="81"/>
            <rFont val="Tahoma"/>
            <family val="2"/>
          </rPr>
          <t>Dr Dale F Cooper:</t>
        </r>
        <r>
          <rPr>
            <sz val="9"/>
            <color indexed="81"/>
            <rFont val="Tahoma"/>
            <family val="2"/>
          </rPr>
          <t xml:space="preserve">
Note: Conditional formatting will show errors on</t>
        </r>
        <r>
          <rPr>
            <b/>
            <sz val="9"/>
            <color indexed="81"/>
            <rFont val="Tahoma"/>
            <family val="2"/>
          </rPr>
          <t xml:space="preserve"> bold red</t>
        </r>
      </text>
    </comment>
  </commentList>
</comments>
</file>

<file path=xl/comments2.xml><?xml version="1.0" encoding="utf-8"?>
<comments xmlns="http://schemas.openxmlformats.org/spreadsheetml/2006/main">
  <authors>
    <author>Dr Stephen Grey</author>
  </authors>
  <commentList>
    <comment ref="J12" authorId="0" shapeId="0">
      <text>
        <r>
          <rPr>
            <b/>
            <sz val="9"/>
            <color indexed="81"/>
            <rFont val="Tahoma"/>
            <family val="2"/>
          </rPr>
          <t>Dr Stephen Grey:</t>
        </r>
        <r>
          <rPr>
            <sz val="9"/>
            <color indexed="81"/>
            <rFont val="Tahoma"/>
            <family val="2"/>
          </rPr>
          <t xml:space="preserve">
weighted average of variation in other items in this line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Dr Stephen Grey:</t>
        </r>
        <r>
          <rPr>
            <sz val="9"/>
            <color indexed="81"/>
            <rFont val="Tahoma"/>
            <family val="2"/>
          </rPr>
          <t xml:space="preserve">
weighted average of variation in other items in this line</t>
        </r>
      </text>
    </comment>
  </commentList>
</comments>
</file>

<file path=xl/comments3.xml><?xml version="1.0" encoding="utf-8"?>
<comments xmlns="http://schemas.openxmlformats.org/spreadsheetml/2006/main">
  <authors>
    <author>Dr Stephen Grey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</rPr>
          <t>@RISK Correlation Market_rates
Updated: 10/06/2016 4:34:53 PM</t>
        </r>
      </text>
    </comment>
  </commentList>
</comments>
</file>

<file path=xl/sharedStrings.xml><?xml version="1.0" encoding="utf-8"?>
<sst xmlns="http://schemas.openxmlformats.org/spreadsheetml/2006/main" count="962" uniqueCount="541">
  <si>
    <t>Bulk materials</t>
  </si>
  <si>
    <t xml:space="preserve">     Staff</t>
  </si>
  <si>
    <t xml:space="preserve">   Labour</t>
  </si>
  <si>
    <t xml:space="preserve"> Plant</t>
  </si>
  <si>
    <t>Concrete</t>
  </si>
  <si>
    <t>Steel</t>
  </si>
  <si>
    <t>Other</t>
  </si>
  <si>
    <t>Subcon</t>
  </si>
  <si>
    <t xml:space="preserve">     Other</t>
  </si>
  <si>
    <t>TOTAL</t>
  </si>
  <si>
    <t>Sunk costs</t>
  </si>
  <si>
    <t>A0000</t>
  </si>
  <si>
    <t>Initial design</t>
  </si>
  <si>
    <t>Consulting fees</t>
  </si>
  <si>
    <t>Environmental and community consultations</t>
  </si>
  <si>
    <t>Provisions</t>
  </si>
  <si>
    <t>P1010</t>
  </si>
  <si>
    <t>Onsite rework of reinforcing</t>
  </si>
  <si>
    <t>P1020</t>
  </si>
  <si>
    <t>Corrosion protection</t>
  </si>
  <si>
    <t>P1030</t>
  </si>
  <si>
    <t>Inclement weather</t>
  </si>
  <si>
    <t>P1040</t>
  </si>
  <si>
    <t>Delay costs</t>
  </si>
  <si>
    <t>P1050</t>
  </si>
  <si>
    <t>Bank guarantees</t>
  </si>
  <si>
    <t>Establishment and preliminaries</t>
  </si>
  <si>
    <t>Cable relocation</t>
  </si>
  <si>
    <t>J1020</t>
  </si>
  <si>
    <t>J1030</t>
  </si>
  <si>
    <t>Remove existing cabling</t>
  </si>
  <si>
    <t>Site establishment</t>
  </si>
  <si>
    <t>A2400</t>
  </si>
  <si>
    <t>Mobilise site office 1</t>
  </si>
  <si>
    <t>Mobilise site office 2</t>
  </si>
  <si>
    <t>A2300</t>
  </si>
  <si>
    <t>Site offices</t>
  </si>
  <si>
    <t>A2100</t>
  </si>
  <si>
    <t>Site supervisor</t>
  </si>
  <si>
    <t>E2001</t>
  </si>
  <si>
    <t>Safety zones</t>
  </si>
  <si>
    <t>E2002</t>
  </si>
  <si>
    <t>Set up environmental controls</t>
  </si>
  <si>
    <t>E6010</t>
  </si>
  <si>
    <t>Soil testing</t>
  </si>
  <si>
    <t>E6020</t>
  </si>
  <si>
    <t>Initial earthworks</t>
  </si>
  <si>
    <t>Management</t>
  </si>
  <si>
    <t>A1000</t>
  </si>
  <si>
    <t>Project manager</t>
  </si>
  <si>
    <t>Project administrator</t>
  </si>
  <si>
    <t>Design liaison</t>
  </si>
  <si>
    <t>Project office</t>
  </si>
  <si>
    <t>Site personnel</t>
  </si>
  <si>
    <t>A2000</t>
  </si>
  <si>
    <t>Safety management</t>
  </si>
  <si>
    <t>Construction management</t>
  </si>
  <si>
    <t>Construction manager</t>
  </si>
  <si>
    <t>Deputy construction manager</t>
  </si>
  <si>
    <t>Construction engineer</t>
  </si>
  <si>
    <t>Construction supervisor</t>
  </si>
  <si>
    <t>Foreman</t>
  </si>
  <si>
    <t>Project engineer</t>
  </si>
  <si>
    <t>Site engineer</t>
  </si>
  <si>
    <t>Superintendent</t>
  </si>
  <si>
    <t>Surveying</t>
  </si>
  <si>
    <t>Surveyors</t>
  </si>
  <si>
    <t>Survey office</t>
  </si>
  <si>
    <t>Staff accommodation and vehicles</t>
  </si>
  <si>
    <t>Staff relocation</t>
  </si>
  <si>
    <t>A3000</t>
  </si>
  <si>
    <t>Staff vehicles</t>
  </si>
  <si>
    <t>A4000</t>
  </si>
  <si>
    <t>Staff accommodation</t>
  </si>
  <si>
    <t>Site facilities</t>
  </si>
  <si>
    <t>IT systems</t>
  </si>
  <si>
    <t>A2500</t>
  </si>
  <si>
    <t>Site services</t>
  </si>
  <si>
    <t>Surveying consumables</t>
  </si>
  <si>
    <t>Office expenses</t>
  </si>
  <si>
    <t>Training - OHS</t>
  </si>
  <si>
    <t>Direct costs</t>
  </si>
  <si>
    <t>Area 1</t>
  </si>
  <si>
    <t>Design</t>
  </si>
  <si>
    <t>Permanent works design</t>
  </si>
  <si>
    <t>Construction facilities design</t>
  </si>
  <si>
    <t>A2200</t>
  </si>
  <si>
    <t>Geotechnical consultant</t>
  </si>
  <si>
    <t>Ground testing</t>
  </si>
  <si>
    <t>Concrete testing</t>
  </si>
  <si>
    <t>Large cranes</t>
  </si>
  <si>
    <t>Small plant</t>
  </si>
  <si>
    <t>Mobile cranes</t>
  </si>
  <si>
    <t>A2600</t>
  </si>
  <si>
    <t>General purpose cranes</t>
  </si>
  <si>
    <t>Site equipment</t>
  </si>
  <si>
    <t>Consumables and small tools</t>
  </si>
  <si>
    <t>Mobilise and demobilise small plant</t>
  </si>
  <si>
    <t>Plant support and maintenance</t>
  </si>
  <si>
    <t>Crew accommodation</t>
  </si>
  <si>
    <t>Environmental management</t>
  </si>
  <si>
    <t>Stormwater drainage</t>
  </si>
  <si>
    <t>C1100</t>
  </si>
  <si>
    <t>Pipe outlets</t>
  </si>
  <si>
    <t>D1040</t>
  </si>
  <si>
    <t>Demolition</t>
  </si>
  <si>
    <t>C1120</t>
  </si>
  <si>
    <t>C1130</t>
  </si>
  <si>
    <t>C1140</t>
  </si>
  <si>
    <t>C1150</t>
  </si>
  <si>
    <t>Earthworks</t>
  </si>
  <si>
    <t>E2003</t>
  </si>
  <si>
    <t>Bulk earthworks</t>
  </si>
  <si>
    <t>E1011</t>
  </si>
  <si>
    <t>E1012</t>
  </si>
  <si>
    <t>E1021</t>
  </si>
  <si>
    <t>E1023</t>
  </si>
  <si>
    <t>Drainage excavation</t>
  </si>
  <si>
    <t>E1027</t>
  </si>
  <si>
    <t>E1013</t>
  </si>
  <si>
    <t>E1014</t>
  </si>
  <si>
    <t>E1015</t>
  </si>
  <si>
    <t>E1025</t>
  </si>
  <si>
    <t>Corridor cut</t>
  </si>
  <si>
    <t>Shotcreting</t>
  </si>
  <si>
    <t>K1010</t>
  </si>
  <si>
    <t>Trimming</t>
  </si>
  <si>
    <t>K1020</t>
  </si>
  <si>
    <t>Dowel placement</t>
  </si>
  <si>
    <t>K1030</t>
  </si>
  <si>
    <t>Mesh placement</t>
  </si>
  <si>
    <t>K1050</t>
  </si>
  <si>
    <t>Shotcrete</t>
  </si>
  <si>
    <t>K1060</t>
  </si>
  <si>
    <t>Rockbolting</t>
  </si>
  <si>
    <t>Retaining walls</t>
  </si>
  <si>
    <t>W1010</t>
  </si>
  <si>
    <t>South pathway support</t>
  </si>
  <si>
    <t>W1070</t>
  </si>
  <si>
    <t>Backfill</t>
  </si>
  <si>
    <t>W1020</t>
  </si>
  <si>
    <t>North pathway support</t>
  </si>
  <si>
    <t>W1030</t>
  </si>
  <si>
    <t>West retaining wall</t>
  </si>
  <si>
    <t>W1050</t>
  </si>
  <si>
    <t>North concrete wall</t>
  </si>
  <si>
    <t>W1040</t>
  </si>
  <si>
    <t>Improve existing retaining wall</t>
  </si>
  <si>
    <t>W1060</t>
  </si>
  <si>
    <t>Retained earth wall</t>
  </si>
  <si>
    <t>Pavement</t>
  </si>
  <si>
    <t>G1070</t>
  </si>
  <si>
    <t>Remove existing pavement</t>
  </si>
  <si>
    <t>G1010</t>
  </si>
  <si>
    <t>Subgrade placement</t>
  </si>
  <si>
    <t>G1020</t>
  </si>
  <si>
    <t>Subbase placement</t>
  </si>
  <si>
    <t>G1030</t>
  </si>
  <si>
    <t>Base placement</t>
  </si>
  <si>
    <t>G1040</t>
  </si>
  <si>
    <t>Rotomilling</t>
  </si>
  <si>
    <t>G1050</t>
  </si>
  <si>
    <t>Tack coating</t>
  </si>
  <si>
    <t>G1060</t>
  </si>
  <si>
    <t>Wearing course</t>
  </si>
  <si>
    <t>G1080</t>
  </si>
  <si>
    <t>Membranes</t>
  </si>
  <si>
    <t>G1090</t>
  </si>
  <si>
    <t>Fencing</t>
  </si>
  <si>
    <t>W1080</t>
  </si>
  <si>
    <t>W1090</t>
  </si>
  <si>
    <t>W1100</t>
  </si>
  <si>
    <t>W1110</t>
  </si>
  <si>
    <t>W1120</t>
  </si>
  <si>
    <t>Barriers</t>
  </si>
  <si>
    <t>S1140</t>
  </si>
  <si>
    <t>Guard  rail removal</t>
  </si>
  <si>
    <t>D1030</t>
  </si>
  <si>
    <t>C1080</t>
  </si>
  <si>
    <t>Infill concrete</t>
  </si>
  <si>
    <t>C1090</t>
  </si>
  <si>
    <t>Crash barrier</t>
  </si>
  <si>
    <t>S1150</t>
  </si>
  <si>
    <t>Guardrail</t>
  </si>
  <si>
    <t>S1170</t>
  </si>
  <si>
    <t>S1180</t>
  </si>
  <si>
    <t>S1190</t>
  </si>
  <si>
    <t>Paths</t>
  </si>
  <si>
    <t>Shared path North</t>
  </si>
  <si>
    <t>C2028</t>
  </si>
  <si>
    <t>Pathway</t>
  </si>
  <si>
    <t>E3001</t>
  </si>
  <si>
    <t>Detailed earthworks</t>
  </si>
  <si>
    <t>S1080</t>
  </si>
  <si>
    <t>Cycle access guard rail</t>
  </si>
  <si>
    <t>Shared path South</t>
  </si>
  <si>
    <t>Pedestrian areas North</t>
  </si>
  <si>
    <t>S1040</t>
  </si>
  <si>
    <t>Pedestrian handrail supply</t>
  </si>
  <si>
    <t>S1050</t>
  </si>
  <si>
    <t>Pedestrian handrail erection</t>
  </si>
  <si>
    <t>Pedestrian areas South 1</t>
  </si>
  <si>
    <t>Pedestrian areas South 2</t>
  </si>
  <si>
    <t>Boardwalk and lookout</t>
  </si>
  <si>
    <t>H1130</t>
  </si>
  <si>
    <t>Small diameter piles</t>
  </si>
  <si>
    <t>C2050</t>
  </si>
  <si>
    <t>Pipes</t>
  </si>
  <si>
    <t>C1063</t>
  </si>
  <si>
    <t>Piers</t>
  </si>
  <si>
    <t>S2100</t>
  </si>
  <si>
    <t>Minor reinforcing</t>
  </si>
  <si>
    <t>S1060</t>
  </si>
  <si>
    <t>Joist fittings</t>
  </si>
  <si>
    <t>L1040</t>
  </si>
  <si>
    <t>Timber decks</t>
  </si>
  <si>
    <t>Signs and linemarking</t>
  </si>
  <si>
    <t>M1010</t>
  </si>
  <si>
    <t>Line marking</t>
  </si>
  <si>
    <t>M1030</t>
  </si>
  <si>
    <t>Pedestrian crossings</t>
  </si>
  <si>
    <t>M1040</t>
  </si>
  <si>
    <t>Cycle path marking</t>
  </si>
  <si>
    <t>M1050</t>
  </si>
  <si>
    <t>Warning signs</t>
  </si>
  <si>
    <t>Landscaping</t>
  </si>
  <si>
    <t>L1010</t>
  </si>
  <si>
    <t>L1020</t>
  </si>
  <si>
    <t>L1030</t>
  </si>
  <si>
    <t>Seeding</t>
  </si>
  <si>
    <t>Access track and surrounds</t>
  </si>
  <si>
    <t>D1010</t>
  </si>
  <si>
    <t>Clearing and grubbing</t>
  </si>
  <si>
    <t>E4011</t>
  </si>
  <si>
    <t>E4020</t>
  </si>
  <si>
    <t>E4030</t>
  </si>
  <si>
    <t>Geotextile</t>
  </si>
  <si>
    <t>E5010</t>
  </si>
  <si>
    <t>E5020</t>
  </si>
  <si>
    <t>G1100</t>
  </si>
  <si>
    <t>Access track improvement</t>
  </si>
  <si>
    <t>E5030</t>
  </si>
  <si>
    <t>E5041</t>
  </si>
  <si>
    <t>Piling</t>
  </si>
  <si>
    <t>H1080</t>
  </si>
  <si>
    <t>H1090</t>
  </si>
  <si>
    <t>H1100</t>
  </si>
  <si>
    <t>H1110</t>
  </si>
  <si>
    <t>Geotechnical drilling</t>
  </si>
  <si>
    <t>H1120</t>
  </si>
  <si>
    <t>Trim piles</t>
  </si>
  <si>
    <t>Abutments</t>
  </si>
  <si>
    <t>E1028</t>
  </si>
  <si>
    <t>Abutment excavation</t>
  </si>
  <si>
    <t>C1010</t>
  </si>
  <si>
    <t>Abutment mass concrete</t>
  </si>
  <si>
    <t>S2010</t>
  </si>
  <si>
    <t>Abutment reinforcement</t>
  </si>
  <si>
    <t>C2010</t>
  </si>
  <si>
    <t>Steel dowel</t>
  </si>
  <si>
    <t>F1010</t>
  </si>
  <si>
    <t>Abutment formwork</t>
  </si>
  <si>
    <t>C1041</t>
  </si>
  <si>
    <t>Abutment</t>
  </si>
  <si>
    <t>C1042</t>
  </si>
  <si>
    <t>Slabs</t>
  </si>
  <si>
    <t>Pile caps</t>
  </si>
  <si>
    <t>E4052</t>
  </si>
  <si>
    <t>E4053</t>
  </si>
  <si>
    <t>E4054</t>
  </si>
  <si>
    <t>E4055</t>
  </si>
  <si>
    <t>F1050</t>
  </si>
  <si>
    <t>Pile cap formwork</t>
  </si>
  <si>
    <t>S2070</t>
  </si>
  <si>
    <t>Pile cap reinforcement</t>
  </si>
  <si>
    <t>C1052</t>
  </si>
  <si>
    <t>C1053</t>
  </si>
  <si>
    <t>Crane pad</t>
  </si>
  <si>
    <t>F1060</t>
  </si>
  <si>
    <t>Pier formwork</t>
  </si>
  <si>
    <t>F1070</t>
  </si>
  <si>
    <t>S2080</t>
  </si>
  <si>
    <t>Pier reinforcement</t>
  </si>
  <si>
    <t>F1080</t>
  </si>
  <si>
    <t>S2090</t>
  </si>
  <si>
    <t>Diaphragm reinforcement</t>
  </si>
  <si>
    <t>C1055</t>
  </si>
  <si>
    <t>J1040</t>
  </si>
  <si>
    <t>Temporary lighting</t>
  </si>
  <si>
    <t>S1010</t>
  </si>
  <si>
    <t>Maintenance access</t>
  </si>
  <si>
    <t>F1020</t>
  </si>
  <si>
    <t>General formwork</t>
  </si>
  <si>
    <t>F1030</t>
  </si>
  <si>
    <t>F1040</t>
  </si>
  <si>
    <t>Span formwork</t>
  </si>
  <si>
    <t>S2040</t>
  </si>
  <si>
    <t>Deck reinforcement</t>
  </si>
  <si>
    <t>T1020</t>
  </si>
  <si>
    <t>Post tensioning</t>
  </si>
  <si>
    <t>C2031</t>
  </si>
  <si>
    <t>Deck segments</t>
  </si>
  <si>
    <t>C1072</t>
  </si>
  <si>
    <t>Cast fittings</t>
  </si>
  <si>
    <t>Parapets and crash rails</t>
  </si>
  <si>
    <t>C2040</t>
  </si>
  <si>
    <t>Supply and erection</t>
  </si>
  <si>
    <t>C1051</t>
  </si>
  <si>
    <t>S2060</t>
  </si>
  <si>
    <t>Parapet reinforcement</t>
  </si>
  <si>
    <t>S1020</t>
  </si>
  <si>
    <t>Traffic barrier supply</t>
  </si>
  <si>
    <t>S1030</t>
  </si>
  <si>
    <t>Traffic barrier erection</t>
  </si>
  <si>
    <t>Expansion joint</t>
  </si>
  <si>
    <t>X1010</t>
  </si>
  <si>
    <t>Expansion joint fabrication</t>
  </si>
  <si>
    <t>X1020</t>
  </si>
  <si>
    <t>Expansion joint installation</t>
  </si>
  <si>
    <t>S1090</t>
  </si>
  <si>
    <t>Cover plates</t>
  </si>
  <si>
    <t>J1010</t>
  </si>
  <si>
    <t>Services duct</t>
  </si>
  <si>
    <t>S1120</t>
  </si>
  <si>
    <t>Connecting slab</t>
  </si>
  <si>
    <t>C1030</t>
  </si>
  <si>
    <t>S2030</t>
  </si>
  <si>
    <t>Slab reinforcement</t>
  </si>
  <si>
    <t>C2025</t>
  </si>
  <si>
    <t>Jointing</t>
  </si>
  <si>
    <t>C2026</t>
  </si>
  <si>
    <t>Membrane</t>
  </si>
  <si>
    <t>C2027</t>
  </si>
  <si>
    <t>Dowel fixings</t>
  </si>
  <si>
    <t>Area 2</t>
  </si>
  <si>
    <t>E4012</t>
  </si>
  <si>
    <t>E4041</t>
  </si>
  <si>
    <t>Remove and stockpile topsoil</t>
  </si>
  <si>
    <t>Bridge</t>
  </si>
  <si>
    <t>H1010</t>
  </si>
  <si>
    <t>Piling 1</t>
  </si>
  <si>
    <t>H1020</t>
  </si>
  <si>
    <t>Piling 2</t>
  </si>
  <si>
    <t>H1030</t>
  </si>
  <si>
    <t>Piling 3</t>
  </si>
  <si>
    <t>H1040</t>
  </si>
  <si>
    <t>Piling 4</t>
  </si>
  <si>
    <t>H1050</t>
  </si>
  <si>
    <t>Piling 5</t>
  </si>
  <si>
    <t>H1060</t>
  </si>
  <si>
    <t>Piling 6</t>
  </si>
  <si>
    <t>H1070</t>
  </si>
  <si>
    <t>Substructure</t>
  </si>
  <si>
    <t>C1020</t>
  </si>
  <si>
    <t>Pier columns</t>
  </si>
  <si>
    <t>E7010</t>
  </si>
  <si>
    <t>Anchors</t>
  </si>
  <si>
    <t>S2050</t>
  </si>
  <si>
    <t>E4013</t>
  </si>
  <si>
    <t>C1064</t>
  </si>
  <si>
    <t>Mass concrete</t>
  </si>
  <si>
    <t>S2110</t>
  </si>
  <si>
    <t>Column reinforcement</t>
  </si>
  <si>
    <t>C1065</t>
  </si>
  <si>
    <t>F1110</t>
  </si>
  <si>
    <t>X1030</t>
  </si>
  <si>
    <t>Bearings</t>
  </si>
  <si>
    <t>F1100</t>
  </si>
  <si>
    <t>S2130</t>
  </si>
  <si>
    <t>Segment reinforcement</t>
  </si>
  <si>
    <t>T1010</t>
  </si>
  <si>
    <t>Prestressing</t>
  </si>
  <si>
    <t>C1071</t>
  </si>
  <si>
    <t>P1070</t>
  </si>
  <si>
    <t>Additional specialised plant</t>
  </si>
  <si>
    <t>S1130</t>
  </si>
  <si>
    <t>Construction frames</t>
  </si>
  <si>
    <t>P1060</t>
  </si>
  <si>
    <t>Alternative construction strategy</t>
  </si>
  <si>
    <t>Pedestrian barriers</t>
  </si>
  <si>
    <t>Superstructure</t>
  </si>
  <si>
    <t>Girders</t>
  </si>
  <si>
    <t>C2011</t>
  </si>
  <si>
    <t>Manufacture beams</t>
  </si>
  <si>
    <t>C2012</t>
  </si>
  <si>
    <t>Delivery and handling</t>
  </si>
  <si>
    <t>C2013</t>
  </si>
  <si>
    <t>Erection</t>
  </si>
  <si>
    <t>Deck fit out</t>
  </si>
  <si>
    <t>C2021</t>
  </si>
  <si>
    <t>Parapets</t>
  </si>
  <si>
    <t>S2020</t>
  </si>
  <si>
    <t>C2022</t>
  </si>
  <si>
    <t>Conduit</t>
  </si>
  <si>
    <t>C2024</t>
  </si>
  <si>
    <t>Traffic barriers</t>
  </si>
  <si>
    <t>C2023</t>
  </si>
  <si>
    <t>Connecting slab 1</t>
  </si>
  <si>
    <t>Connecting slab 2</t>
  </si>
  <si>
    <t>C2032</t>
  </si>
  <si>
    <t>E1026</t>
  </si>
  <si>
    <t>Retaining wall excavation</t>
  </si>
  <si>
    <t>E1031</t>
  </si>
  <si>
    <t>Gabions and mattresses</t>
  </si>
  <si>
    <t>Detailed earthworks 1</t>
  </si>
  <si>
    <t>Detailed earthworks 2</t>
  </si>
  <si>
    <t>Detailed earthworks 3</t>
  </si>
  <si>
    <t>Detailed earthworks 4</t>
  </si>
  <si>
    <t>Pier formwork A</t>
  </si>
  <si>
    <t>Pier formwork B</t>
  </si>
  <si>
    <t>Piling A</t>
  </si>
  <si>
    <t>Piling B</t>
  </si>
  <si>
    <t>Piling C</t>
  </si>
  <si>
    <t>Install rock South</t>
  </si>
  <si>
    <t>Install rock North</t>
  </si>
  <si>
    <t>Detailed earthworks South</t>
  </si>
  <si>
    <t>Detailed earthworks North</t>
  </si>
  <si>
    <t>Topsoil replacement North</t>
  </si>
  <si>
    <t>Topsoil replacement South</t>
  </si>
  <si>
    <t>Jersey barriers Stage 1</t>
  </si>
  <si>
    <t>Jersey barriers Stage 2</t>
  </si>
  <si>
    <t>Jersey barriers Stage 3</t>
  </si>
  <si>
    <t>Fencing South</t>
  </si>
  <si>
    <t>Fencing North</t>
  </si>
  <si>
    <t>Minor works South</t>
  </si>
  <si>
    <t>Minor works North</t>
  </si>
  <si>
    <t>Access Track</t>
  </si>
  <si>
    <t>Rock removal North A</t>
  </si>
  <si>
    <t>Rock removal South A</t>
  </si>
  <si>
    <t>Rock removal North B</t>
  </si>
  <si>
    <t>Rock removal South B</t>
  </si>
  <si>
    <t>Rock removal Area 3</t>
  </si>
  <si>
    <t>Kerb A</t>
  </si>
  <si>
    <t>Kerb B</t>
  </si>
  <si>
    <t>Pipe outlets A</t>
  </si>
  <si>
    <t>Pipe outlets B</t>
  </si>
  <si>
    <t>Site offices North</t>
  </si>
  <si>
    <t>Site offices South</t>
  </si>
  <si>
    <t>Site offices Area 3</t>
  </si>
  <si>
    <t>A2110</t>
  </si>
  <si>
    <t>A2120</t>
  </si>
  <si>
    <t>A2130</t>
  </si>
  <si>
    <t>A2140</t>
  </si>
  <si>
    <t>A2150</t>
  </si>
  <si>
    <t>A2160</t>
  </si>
  <si>
    <t>A2170</t>
  </si>
  <si>
    <t>A2180</t>
  </si>
  <si>
    <t>A2190</t>
  </si>
  <si>
    <t>Site offices 1</t>
  </si>
  <si>
    <t>Site offices 2</t>
  </si>
  <si>
    <t>A2115</t>
  </si>
  <si>
    <t>A2125</t>
  </si>
  <si>
    <t>A2310</t>
  </si>
  <si>
    <t>A2320</t>
  </si>
  <si>
    <t>Cable and connections</t>
  </si>
  <si>
    <t>Viaduct</t>
  </si>
  <si>
    <t>Total</t>
  </si>
  <si>
    <t>Special plant</t>
  </si>
  <si>
    <t>Detailed design (70%)</t>
  </si>
  <si>
    <t>Variation</t>
  </si>
  <si>
    <t>Description</t>
  </si>
  <si>
    <t>Optimistic</t>
  </si>
  <si>
    <t>Likely</t>
  </si>
  <si>
    <t>Pessimistic</t>
  </si>
  <si>
    <t>Simulated</t>
  </si>
  <si>
    <t>Factor</t>
  </si>
  <si>
    <t>Excel name</t>
  </si>
  <si>
    <t>Preliminaries rate</t>
  </si>
  <si>
    <t>Prelim_running</t>
  </si>
  <si>
    <t>Duration</t>
  </si>
  <si>
    <t>@RISK Correlations</t>
  </si>
  <si>
    <t>Concrete rate</t>
  </si>
  <si>
    <t>R_Conc</t>
  </si>
  <si>
    <t>Steel rate</t>
  </si>
  <si>
    <t>R_Steel</t>
  </si>
  <si>
    <t>General bulks rate</t>
  </si>
  <si>
    <t>R_General</t>
  </si>
  <si>
    <t>Plant rate</t>
  </si>
  <si>
    <t>R_Plant</t>
  </si>
  <si>
    <t>Subcontract rates</t>
  </si>
  <si>
    <t>R_Subcon</t>
  </si>
  <si>
    <t>Staff rate</t>
  </si>
  <si>
    <t>R_Staff</t>
  </si>
  <si>
    <t>Labour rate</t>
  </si>
  <si>
    <t>R_Labour</t>
  </si>
  <si>
    <t>Productivity</t>
  </si>
  <si>
    <t>Major risks</t>
  </si>
  <si>
    <t>Noise walls required at southern end</t>
  </si>
  <si>
    <t>Net impact</t>
  </si>
  <si>
    <t>Impact</t>
  </si>
  <si>
    <t>Occurrence</t>
  </si>
  <si>
    <t>Prob =</t>
  </si>
  <si>
    <t>Percentile</t>
  </si>
  <si>
    <t>Risk of exceeding target</t>
  </si>
  <si>
    <t>Place link to simulated value here</t>
  </si>
  <si>
    <t>Summary output</t>
  </si>
  <si>
    <r>
      <t>P</t>
    </r>
    <r>
      <rPr>
        <vertAlign val="subscript"/>
        <sz val="10"/>
        <rFont val="Arial"/>
        <family val="2"/>
      </rPr>
      <t>10</t>
    </r>
  </si>
  <si>
    <t>Mean</t>
  </si>
  <si>
    <r>
      <t>P</t>
    </r>
    <r>
      <rPr>
        <vertAlign val="subscript"/>
        <sz val="10"/>
        <rFont val="Arial"/>
        <family val="2"/>
      </rPr>
      <t>90</t>
    </r>
  </si>
  <si>
    <t>Base</t>
  </si>
  <si>
    <t>Place link to base value here</t>
  </si>
  <si>
    <t>Chart markers</t>
  </si>
  <si>
    <t>P10</t>
  </si>
  <si>
    <t>P90</t>
  </si>
  <si>
    <t>Check Total from Estimate sheet</t>
  </si>
  <si>
    <t>Earthworks quantity</t>
  </si>
  <si>
    <t>Concrete quantity</t>
  </si>
  <si>
    <t>Retaining walls quantity</t>
  </si>
  <si>
    <t>Pavement quantity</t>
  </si>
  <si>
    <t>Piling quantity</t>
  </si>
  <si>
    <t>Structural steel quantity</t>
  </si>
  <si>
    <t>Q_Earth</t>
  </si>
  <si>
    <t>Q_Conc</t>
  </si>
  <si>
    <t>Q_Pave</t>
  </si>
  <si>
    <t>Q_Walls</t>
  </si>
  <si>
    <t>Q_Pile</t>
  </si>
  <si>
    <t>Q_Steel</t>
  </si>
  <si>
    <t>Barriers quantity</t>
  </si>
  <si>
    <t>Q_Barrier</t>
  </si>
  <si>
    <t>Preliminaries time independent</t>
  </si>
  <si>
    <t>Preliminaries time related</t>
  </si>
  <si>
    <t>Engineering scale</t>
  </si>
  <si>
    <t>Q_Eng</t>
  </si>
  <si>
    <t>Q_Plant</t>
  </si>
  <si>
    <t>Plant and site equipment quantity</t>
  </si>
  <si>
    <t>Finish Date</t>
  </si>
  <si>
    <t>Entire Plan</t>
  </si>
  <si>
    <t>Range Analysis - Trial Run.plan</t>
  </si>
  <si>
    <t>Paste PRA CSV file contents, or equivalent, into cell A1 then adjust the formulae in columns D and E to cover the number of entries in columns A:C</t>
  </si>
  <si>
    <t>Date</t>
  </si>
  <si>
    <t>Hits</t>
  </si>
  <si>
    <t>Cumulative Hits</t>
  </si>
  <si>
    <t>Nominal start</t>
  </si>
  <si>
    <t>Deterministic end</t>
  </si>
  <si>
    <t>Deterministic duration (days)</t>
  </si>
  <si>
    <t>Median</t>
  </si>
  <si>
    <t>Schedule Entire Plan</t>
  </si>
  <si>
    <t>Entire plan duration</t>
  </si>
  <si>
    <r>
      <t>P</t>
    </r>
    <r>
      <rPr>
        <vertAlign val="subscript"/>
        <sz val="10"/>
        <rFont val="Arial"/>
        <family val="2"/>
      </rPr>
      <t>50</t>
    </r>
    <r>
      <rPr>
        <sz val="11"/>
        <color theme="1"/>
        <rFont val="Calibri"/>
        <family val="2"/>
        <scheme val="minor"/>
      </rPr>
      <t/>
    </r>
  </si>
  <si>
    <t>P50</t>
  </si>
  <si>
    <t>Shaded cells (conditional formatting) have no cost in the estimate summary and so require no risk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</si>
</sst>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&quot;$&quot;#,###.0&quot;M&quot;"/>
    <numFmt numFmtId="166" formatCode="0.0"/>
    <numFmt numFmtId="167" formatCode="0.0%"/>
    <numFmt numFmtId="168" formatCode="[$-C09]dd\-mmm\-yy;@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Tahoma"/>
      <family val="2"/>
    </font>
    <font>
      <sz val="10"/>
      <color rgb="FFFF0000"/>
      <name val="Arial"/>
      <family val="2"/>
    </font>
    <font>
      <vertAlign val="subscript"/>
      <sz val="10"/>
      <name val="Arial"/>
      <family val="2"/>
    </font>
    <font>
      <b/>
      <sz val="10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164" fontId="4" fillId="2" borderId="0" xfId="0" applyNumberFormat="1" applyFont="1" applyFill="1"/>
    <xf numFmtId="41" fontId="0" fillId="0" borderId="0" xfId="0" applyNumberFormat="1"/>
    <xf numFmtId="164" fontId="3" fillId="0" borderId="0" xfId="0" applyNumberFormat="1" applyFont="1"/>
    <xf numFmtId="164" fontId="4" fillId="3" borderId="0" xfId="0" applyNumberFormat="1" applyFont="1" applyFill="1"/>
    <xf numFmtId="164" fontId="2" fillId="0" borderId="0" xfId="0" applyNumberFormat="1" applyFont="1"/>
    <xf numFmtId="41" fontId="3" fillId="0" borderId="0" xfId="0" applyNumberFormat="1" applyFont="1"/>
    <xf numFmtId="41" fontId="0" fillId="0" borderId="1" xfId="0" applyNumberFormat="1" applyBorder="1"/>
    <xf numFmtId="41" fontId="3" fillId="0" borderId="1" xfId="0" applyNumberFormat="1" applyFont="1" applyBorder="1"/>
    <xf numFmtId="41" fontId="5" fillId="0" borderId="0" xfId="0" applyNumberFormat="1" applyFont="1"/>
    <xf numFmtId="0" fontId="0" fillId="0" borderId="0" xfId="0" applyAlignment="1">
      <alignment horizontal="center"/>
    </xf>
    <xf numFmtId="41" fontId="6" fillId="0" borderId="0" xfId="0" applyNumberFormat="1" applyFont="1"/>
    <xf numFmtId="41" fontId="7" fillId="2" borderId="0" xfId="0" applyNumberFormat="1" applyFont="1" applyFill="1"/>
    <xf numFmtId="41" fontId="8" fillId="2" borderId="0" xfId="0" applyNumberFormat="1" applyFont="1" applyFill="1"/>
    <xf numFmtId="41" fontId="7" fillId="3" borderId="0" xfId="0" applyNumberFormat="1" applyFont="1" applyFill="1"/>
    <xf numFmtId="41" fontId="8" fillId="3" borderId="0" xfId="0" applyNumberFormat="1" applyFont="1" applyFill="1"/>
    <xf numFmtId="0" fontId="3" fillId="0" borderId="0" xfId="0" applyFont="1" applyAlignment="1">
      <alignment horizontal="center"/>
    </xf>
    <xf numFmtId="9" fontId="0" fillId="0" borderId="2" xfId="1" applyFont="1" applyBorder="1" applyAlignment="1">
      <alignment horizontal="center"/>
    </xf>
    <xf numFmtId="9" fontId="0" fillId="4" borderId="3" xfId="1" applyFont="1" applyFill="1" applyBorder="1" applyAlignment="1">
      <alignment horizontal="center"/>
    </xf>
    <xf numFmtId="9" fontId="0" fillId="4" borderId="4" xfId="1" applyFont="1" applyFill="1" applyBorder="1" applyAlignment="1">
      <alignment horizontal="center"/>
    </xf>
    <xf numFmtId="0" fontId="11" fillId="5" borderId="5" xfId="0" quotePrefix="1" applyFont="1" applyFill="1" applyBorder="1"/>
    <xf numFmtId="0" fontId="11" fillId="6" borderId="2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0" fillId="0" borderId="2" xfId="2" applyNumberFormat="1" applyFont="1" applyFill="1" applyBorder="1" applyAlignment="1">
      <alignment horizontal="center"/>
    </xf>
    <xf numFmtId="165" fontId="0" fillId="4" borderId="2" xfId="2" applyNumberFormat="1" applyFont="1" applyFill="1" applyBorder="1"/>
    <xf numFmtId="165" fontId="0" fillId="4" borderId="4" xfId="1" applyNumberFormat="1" applyFont="1" applyFill="1" applyBorder="1" applyAlignment="1">
      <alignment horizontal="center"/>
    </xf>
    <xf numFmtId="0" fontId="0" fillId="4" borderId="4" xfId="1" applyNumberFormat="1" applyFont="1" applyFill="1" applyBorder="1" applyAlignment="1">
      <alignment horizontal="center"/>
    </xf>
    <xf numFmtId="0" fontId="3" fillId="0" borderId="0" xfId="3" applyFont="1"/>
    <xf numFmtId="0" fontId="2" fillId="0" borderId="0" xfId="3"/>
    <xf numFmtId="0" fontId="3" fillId="0" borderId="0" xfId="3" applyFont="1" applyAlignment="1">
      <alignment horizontal="center"/>
    </xf>
    <xf numFmtId="9" fontId="0" fillId="0" borderId="0" xfId="4" applyFont="1"/>
    <xf numFmtId="166" fontId="2" fillId="0" borderId="0" xfId="3" applyNumberFormat="1"/>
    <xf numFmtId="9" fontId="2" fillId="0" borderId="0" xfId="3" applyNumberFormat="1"/>
    <xf numFmtId="3" fontId="2" fillId="0" borderId="0" xfId="3" applyNumberFormat="1"/>
    <xf numFmtId="0" fontId="3" fillId="0" borderId="0" xfId="3" applyFont="1" applyAlignment="1">
      <alignment horizontal="right"/>
    </xf>
    <xf numFmtId="3" fontId="2" fillId="8" borderId="9" xfId="3" applyNumberFormat="1" applyFill="1" applyBorder="1"/>
    <xf numFmtId="0" fontId="12" fillId="0" borderId="0" xfId="3" applyFont="1"/>
    <xf numFmtId="0" fontId="2" fillId="0" borderId="2" xfId="3" applyBorder="1" applyAlignment="1">
      <alignment horizontal="right"/>
    </xf>
    <xf numFmtId="165" fontId="0" fillId="9" borderId="2" xfId="2" applyNumberFormat="1" applyFont="1" applyFill="1" applyBorder="1"/>
    <xf numFmtId="167" fontId="0" fillId="0" borderId="2" xfId="1" applyNumberFormat="1" applyFont="1" applyBorder="1" applyAlignment="1">
      <alignment horizontal="center"/>
    </xf>
    <xf numFmtId="165" fontId="0" fillId="0" borderId="2" xfId="2" applyNumberFormat="1" applyFont="1" applyFill="1" applyBorder="1"/>
    <xf numFmtId="0" fontId="2" fillId="0" borderId="2" xfId="3" applyFill="1" applyBorder="1" applyAlignment="1">
      <alignment horizontal="right"/>
    </xf>
    <xf numFmtId="165" fontId="2" fillId="0" borderId="0" xfId="3" applyNumberFormat="1"/>
    <xf numFmtId="0" fontId="0" fillId="0" borderId="0" xfId="0" applyFont="1"/>
    <xf numFmtId="41" fontId="0" fillId="0" borderId="0" xfId="0" applyNumberFormat="1" applyFont="1"/>
    <xf numFmtId="9" fontId="2" fillId="0" borderId="2" xfId="1" applyFont="1" applyFill="1" applyBorder="1"/>
    <xf numFmtId="9" fontId="2" fillId="0" borderId="0" xfId="1" applyFont="1" applyFill="1"/>
    <xf numFmtId="164" fontId="0" fillId="0" borderId="0" xfId="0" applyNumberFormat="1" applyFill="1"/>
    <xf numFmtId="0" fontId="3" fillId="0" borderId="0" xfId="0" applyFont="1" applyAlignment="1">
      <alignment horizontal="center"/>
    </xf>
    <xf numFmtId="0" fontId="2" fillId="0" borderId="0" xfId="3" applyFill="1"/>
    <xf numFmtId="0" fontId="2" fillId="10" borderId="0" xfId="3" applyFill="1"/>
    <xf numFmtId="15" fontId="2" fillId="10" borderId="0" xfId="3" applyNumberFormat="1" applyFill="1"/>
    <xf numFmtId="1" fontId="2" fillId="0" borderId="0" xfId="3" applyNumberFormat="1"/>
    <xf numFmtId="167" fontId="2" fillId="0" borderId="0" xfId="4" applyNumberFormat="1"/>
    <xf numFmtId="0" fontId="2" fillId="0" borderId="0" xfId="3" applyAlignment="1">
      <alignment horizontal="right"/>
    </xf>
    <xf numFmtId="168" fontId="2" fillId="4" borderId="10" xfId="3" applyNumberFormat="1" applyFill="1" applyBorder="1"/>
    <xf numFmtId="0" fontId="2" fillId="0" borderId="2" xfId="3" applyBorder="1"/>
    <xf numFmtId="166" fontId="2" fillId="11" borderId="11" xfId="3" applyNumberFormat="1" applyFill="1" applyBorder="1"/>
    <xf numFmtId="0" fontId="14" fillId="0" borderId="0" xfId="3" applyFont="1"/>
    <xf numFmtId="0" fontId="2" fillId="0" borderId="12" xfId="3" applyBorder="1" applyAlignment="1">
      <alignment horizontal="right"/>
    </xf>
    <xf numFmtId="1" fontId="2" fillId="9" borderId="12" xfId="3" applyNumberFormat="1" applyFill="1" applyBorder="1"/>
    <xf numFmtId="168" fontId="2" fillId="9" borderId="12" xfId="3" applyNumberFormat="1" applyFill="1" applyBorder="1"/>
    <xf numFmtId="0" fontId="2" fillId="0" borderId="12" xfId="3" applyFill="1" applyBorder="1" applyAlignment="1">
      <alignment horizontal="right"/>
    </xf>
    <xf numFmtId="0" fontId="2" fillId="0" borderId="0" xfId="3" applyFill="1" applyBorder="1" applyAlignment="1">
      <alignment horizontal="right"/>
    </xf>
    <xf numFmtId="167" fontId="2" fillId="11" borderId="11" xfId="4" applyNumberFormat="1" applyFill="1" applyBorder="1"/>
    <xf numFmtId="167" fontId="2" fillId="9" borderId="12" xfId="4" applyNumberFormat="1" applyFill="1" applyBorder="1"/>
    <xf numFmtId="9" fontId="0" fillId="12" borderId="3" xfId="1" applyFont="1" applyFill="1" applyBorder="1" applyAlignment="1">
      <alignment horizontal="center"/>
    </xf>
    <xf numFmtId="9" fontId="0" fillId="12" borderId="4" xfId="1" applyFont="1" applyFill="1" applyBorder="1" applyAlignment="1">
      <alignment horizontal="center"/>
    </xf>
    <xf numFmtId="15" fontId="2" fillId="0" borderId="0" xfId="3" applyNumberFormat="1"/>
    <xf numFmtId="0" fontId="0" fillId="0" borderId="0" xfId="3" applyFont="1" applyAlignment="1">
      <alignment horizontal="right"/>
    </xf>
    <xf numFmtId="0" fontId="0" fillId="0" borderId="2" xfId="3" applyFont="1" applyBorder="1" applyAlignment="1">
      <alignment horizontal="right"/>
    </xf>
    <xf numFmtId="0" fontId="0" fillId="0" borderId="0" xfId="3" applyFont="1"/>
    <xf numFmtId="0" fontId="3" fillId="0" borderId="0" xfId="0" applyFont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13" xfId="3" applyFont="1" applyBorder="1" applyAlignment="1">
      <alignment horizontal="center"/>
    </xf>
    <xf numFmtId="0" fontId="3" fillId="0" borderId="14" xfId="3" applyFont="1" applyBorder="1" applyAlignment="1">
      <alignment horizontal="center"/>
    </xf>
    <xf numFmtId="0" fontId="12" fillId="0" borderId="0" xfId="0" applyFont="1"/>
  </cellXfs>
  <cellStyles count="5">
    <cellStyle name="Comma 2" xfId="2"/>
    <cellStyle name="Normal" xfId="0" builtinId="0"/>
    <cellStyle name="Normal 2" xfId="3"/>
    <cellStyle name="Percent" xfId="1" builtinId="5"/>
    <cellStyle name="Percent 4" xfId="4"/>
  </cellStyles>
  <dxfs count="21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DEB887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DEB887"/>
        </patternFill>
      </fill>
    </dxf>
    <dxf>
      <font>
        <color rgb="FF000000"/>
      </font>
      <fill>
        <patternFill>
          <bgColor rgb="FFDEB887"/>
        </patternFill>
      </fill>
    </dxf>
    <dxf>
      <font>
        <color rgb="FF000000"/>
      </font>
      <fill>
        <patternFill>
          <bgColor rgb="FFDEB887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lor rgb="FFFFFFFF"/>
      </font>
      <fill>
        <patternFill>
          <bgColor rgb="FFDC143C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DC143C"/>
        </patternFill>
      </fill>
    </dxf>
    <dxf>
      <fill>
        <patternFill>
          <bgColor indexed="26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cost</a:t>
            </a:r>
          </a:p>
        </c:rich>
      </c:tx>
      <c:layout>
        <c:manualLayout>
          <c:xMode val="edge"/>
          <c:yMode val="edge"/>
          <c:x val="0.44835751413446068"/>
          <c:y val="4.26716141001855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5044931831791"/>
          <c:y val="0.1781076066790353"/>
          <c:w val="0.81455527436993636"/>
          <c:h val="0.649350649350649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'Summary output'!$O$5</c:f>
              <c:strCache>
                <c:ptCount val="1"/>
                <c:pt idx="0">
                  <c:v>Risk of exceeding target</c:v>
                </c:pt>
              </c:strCache>
            </c:strRef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'Summary output'!$N$6:$N$42</c:f>
              <c:numCache>
                <c:formatCode>0.0</c:formatCode>
                <c:ptCount val="37"/>
                <c:pt idx="0">
                  <c:v>61.652319646820743</c:v>
                </c:pt>
                <c:pt idx="1">
                  <c:v>61.652319646820743</c:v>
                </c:pt>
                <c:pt idx="2">
                  <c:v>61.652319646820743</c:v>
                </c:pt>
                <c:pt idx="3">
                  <c:v>61.652319646820743</c:v>
                </c:pt>
                <c:pt idx="4">
                  <c:v>61.652319646820743</c:v>
                </c:pt>
                <c:pt idx="5">
                  <c:v>61.652319646820743</c:v>
                </c:pt>
                <c:pt idx="6">
                  <c:v>61.652319646820743</c:v>
                </c:pt>
                <c:pt idx="7">
                  <c:v>61.652319646820743</c:v>
                </c:pt>
                <c:pt idx="8">
                  <c:v>61.652319646820743</c:v>
                </c:pt>
                <c:pt idx="9">
                  <c:v>61.652319646820743</c:v>
                </c:pt>
                <c:pt idx="10">
                  <c:v>61.652319646820743</c:v>
                </c:pt>
                <c:pt idx="11">
                  <c:v>61.652319646820743</c:v>
                </c:pt>
                <c:pt idx="12">
                  <c:v>61.652319646820743</c:v>
                </c:pt>
                <c:pt idx="13">
                  <c:v>61.652319646820743</c:v>
                </c:pt>
                <c:pt idx="14">
                  <c:v>61.652319646820743</c:v>
                </c:pt>
                <c:pt idx="15">
                  <c:v>61.652319646820743</c:v>
                </c:pt>
                <c:pt idx="16">
                  <c:v>61.652319646820743</c:v>
                </c:pt>
                <c:pt idx="17">
                  <c:v>61.652319646820743</c:v>
                </c:pt>
                <c:pt idx="18">
                  <c:v>61.652319646820743</c:v>
                </c:pt>
                <c:pt idx="19">
                  <c:v>61.652319646820743</c:v>
                </c:pt>
                <c:pt idx="20">
                  <c:v>61.652319646820743</c:v>
                </c:pt>
                <c:pt idx="21">
                  <c:v>61.652319646820743</c:v>
                </c:pt>
                <c:pt idx="22">
                  <c:v>61.652319646820743</c:v>
                </c:pt>
                <c:pt idx="23">
                  <c:v>61.652319646820743</c:v>
                </c:pt>
                <c:pt idx="24">
                  <c:v>61.652319646820743</c:v>
                </c:pt>
                <c:pt idx="25">
                  <c:v>61.652319646820743</c:v>
                </c:pt>
                <c:pt idx="26">
                  <c:v>61.652319646820743</c:v>
                </c:pt>
                <c:pt idx="27">
                  <c:v>61.652319646820743</c:v>
                </c:pt>
                <c:pt idx="28">
                  <c:v>61.652319646820743</c:v>
                </c:pt>
                <c:pt idx="29">
                  <c:v>61.652319646820743</c:v>
                </c:pt>
                <c:pt idx="30">
                  <c:v>61.652319646820743</c:v>
                </c:pt>
                <c:pt idx="31">
                  <c:v>61.652319646820743</c:v>
                </c:pt>
                <c:pt idx="32">
                  <c:v>61.652319646820743</c:v>
                </c:pt>
                <c:pt idx="33">
                  <c:v>61.652319646820743</c:v>
                </c:pt>
                <c:pt idx="34">
                  <c:v>61.652319646820743</c:v>
                </c:pt>
                <c:pt idx="35">
                  <c:v>61.652319646820743</c:v>
                </c:pt>
                <c:pt idx="36">
                  <c:v>61.652319646820743</c:v>
                </c:pt>
              </c:numCache>
            </c:numRef>
          </c:xVal>
          <c:yVal>
            <c:numRef>
              <c:f>'Summary output'!$O$6:$O$42</c:f>
              <c:numCache>
                <c:formatCode>0%</c:formatCode>
                <c:ptCount val="37"/>
                <c:pt idx="0">
                  <c:v>1</c:v>
                </c:pt>
                <c:pt idx="1">
                  <c:v>0.99</c:v>
                </c:pt>
                <c:pt idx="2">
                  <c:v>0.98</c:v>
                </c:pt>
                <c:pt idx="3">
                  <c:v>0.97</c:v>
                </c:pt>
                <c:pt idx="4">
                  <c:v>0.96</c:v>
                </c:pt>
                <c:pt idx="5">
                  <c:v>0.95</c:v>
                </c:pt>
                <c:pt idx="6">
                  <c:v>0.94</c:v>
                </c:pt>
                <c:pt idx="7">
                  <c:v>0.92999999999999994</c:v>
                </c:pt>
                <c:pt idx="8">
                  <c:v>0.92</c:v>
                </c:pt>
                <c:pt idx="9">
                  <c:v>0.91</c:v>
                </c:pt>
                <c:pt idx="10">
                  <c:v>0.9</c:v>
                </c:pt>
                <c:pt idx="11">
                  <c:v>0.85</c:v>
                </c:pt>
                <c:pt idx="12">
                  <c:v>0.8</c:v>
                </c:pt>
                <c:pt idx="13">
                  <c:v>0.75</c:v>
                </c:pt>
                <c:pt idx="14">
                  <c:v>0.7</c:v>
                </c:pt>
                <c:pt idx="15">
                  <c:v>0.65</c:v>
                </c:pt>
                <c:pt idx="16">
                  <c:v>0.6</c:v>
                </c:pt>
                <c:pt idx="17">
                  <c:v>0.55000000000000004</c:v>
                </c:pt>
                <c:pt idx="18">
                  <c:v>0.5</c:v>
                </c:pt>
                <c:pt idx="19">
                  <c:v>0.44999999999999996</c:v>
                </c:pt>
                <c:pt idx="20">
                  <c:v>0.4</c:v>
                </c:pt>
                <c:pt idx="21">
                  <c:v>0.35</c:v>
                </c:pt>
                <c:pt idx="22">
                  <c:v>0.30000000000000004</c:v>
                </c:pt>
                <c:pt idx="23">
                  <c:v>0.25</c:v>
                </c:pt>
                <c:pt idx="24">
                  <c:v>0.19999999999999996</c:v>
                </c:pt>
                <c:pt idx="25">
                  <c:v>0.15000000000000002</c:v>
                </c:pt>
                <c:pt idx="26">
                  <c:v>9.9999999999999978E-2</c:v>
                </c:pt>
                <c:pt idx="27">
                  <c:v>8.9999999999999969E-2</c:v>
                </c:pt>
                <c:pt idx="28">
                  <c:v>7.999999999999996E-2</c:v>
                </c:pt>
                <c:pt idx="29">
                  <c:v>6.9999999999999951E-2</c:v>
                </c:pt>
                <c:pt idx="30">
                  <c:v>6.0000000000000053E-2</c:v>
                </c:pt>
                <c:pt idx="31">
                  <c:v>5.0000000000000044E-2</c:v>
                </c:pt>
                <c:pt idx="32">
                  <c:v>4.0000000000000036E-2</c:v>
                </c:pt>
                <c:pt idx="33">
                  <c:v>3.0000000000000027E-2</c:v>
                </c:pt>
                <c:pt idx="34">
                  <c:v>2.0000000000000018E-2</c:v>
                </c:pt>
                <c:pt idx="35">
                  <c:v>1.0000000000000009E-2</c:v>
                </c:pt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A3-4D34-ABAD-91664AE913CF}"/>
            </c:ext>
          </c:extLst>
        </c:ser>
        <c:ser>
          <c:idx val="1"/>
          <c:order val="1"/>
          <c:tx>
            <c:strRef>
              <c:f>'Summary output'!$N$46</c:f>
              <c:strCache>
                <c:ptCount val="1"/>
                <c:pt idx="0">
                  <c:v>P10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A3-4D34-ABAD-91664AE913CF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FA3-4D34-ABAD-91664AE913CF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FA3-4D34-ABAD-91664AE913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'Summary output'!$N$47:$N$48</c:f>
              <c:numCache>
                <c:formatCode>0.0</c:formatCode>
                <c:ptCount val="2"/>
                <c:pt idx="0">
                  <c:v>61.652319646820743</c:v>
                </c:pt>
                <c:pt idx="1">
                  <c:v>61.652319646820743</c:v>
                </c:pt>
              </c:numCache>
            </c:numRef>
          </c:xVal>
          <c:yVal>
            <c:numRef>
              <c:f>'Summary output'!$O$47:$O$48</c:f>
              <c:numCache>
                <c:formatCode>General</c:formatCode>
                <c:ptCount val="2"/>
                <c:pt idx="0" formatCode="0.0">
                  <c:v>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A3-4D34-ABAD-91664AE913CF}"/>
            </c:ext>
          </c:extLst>
        </c:ser>
        <c:ser>
          <c:idx val="2"/>
          <c:order val="2"/>
          <c:tx>
            <c:strRef>
              <c:f>'Summary output'!$N$49</c:f>
              <c:strCache>
                <c:ptCount val="1"/>
                <c:pt idx="0">
                  <c:v>P50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'Summary output'!$N$50:$N$51</c:f>
              <c:numCache>
                <c:formatCode>0.0</c:formatCode>
                <c:ptCount val="2"/>
                <c:pt idx="0">
                  <c:v>61.652319646820743</c:v>
                </c:pt>
                <c:pt idx="1">
                  <c:v>61.652319646820743</c:v>
                </c:pt>
              </c:numCache>
            </c:numRef>
          </c:xVal>
          <c:yVal>
            <c:numRef>
              <c:f>'Summary output'!$O$50:$O$51</c:f>
              <c:numCache>
                <c:formatCode>General</c:formatCode>
                <c:ptCount val="2"/>
                <c:pt idx="0" formatCode="0.0">
                  <c:v>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A3-4D34-ABAD-91664AE913CF}"/>
            </c:ext>
          </c:extLst>
        </c:ser>
        <c:ser>
          <c:idx val="3"/>
          <c:order val="3"/>
          <c:tx>
            <c:strRef>
              <c:f>'Summary output'!$N$52</c:f>
              <c:strCache>
                <c:ptCount val="1"/>
                <c:pt idx="0">
                  <c:v>P90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'Summary output'!$N$53:$N$54</c:f>
              <c:numCache>
                <c:formatCode>0.0</c:formatCode>
                <c:ptCount val="2"/>
                <c:pt idx="0">
                  <c:v>61.652319646820743</c:v>
                </c:pt>
                <c:pt idx="1">
                  <c:v>61.652319646820743</c:v>
                </c:pt>
              </c:numCache>
            </c:numRef>
          </c:xVal>
          <c:yVal>
            <c:numRef>
              <c:f>'Summary output'!$O$53:$O$54</c:f>
              <c:numCache>
                <c:formatCode>General</c:formatCode>
                <c:ptCount val="2"/>
                <c:pt idx="0" formatCode="0.0">
                  <c:v>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A3-4D34-ABAD-91664AE913CF}"/>
            </c:ext>
          </c:extLst>
        </c:ser>
        <c:ser>
          <c:idx val="4"/>
          <c:order val="4"/>
          <c:tx>
            <c:strRef>
              <c:f>'Summary output'!$N$56</c:f>
              <c:strCache>
                <c:ptCount val="1"/>
                <c:pt idx="0">
                  <c:v>Base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'Summary output'!$N$58</c:f>
              <c:numCache>
                <c:formatCode>#,##0</c:formatCode>
                <c:ptCount val="1"/>
                <c:pt idx="0">
                  <c:v>56.423676</c:v>
                </c:pt>
              </c:numCache>
            </c:numRef>
          </c:xVal>
          <c:yVal>
            <c:numRef>
              <c:f>'Summary output'!$O$58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A3-4D34-ABAD-91664AE9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624512"/>
        <c:axId val="362626432"/>
      </c:scatterChart>
      <c:valAx>
        <c:axId val="362624512"/>
        <c:scaling>
          <c:orientation val="minMax"/>
          <c:max val="72.5"/>
          <c:min val="52.5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Total target $M</a:t>
                </a:r>
              </a:p>
            </c:rich>
          </c:tx>
          <c:layout>
            <c:manualLayout>
              <c:xMode val="edge"/>
              <c:yMode val="edge"/>
              <c:x val="0.4460100925944897"/>
              <c:y val="0.894248608534322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626432"/>
        <c:crosses val="autoZero"/>
        <c:crossBetween val="midCat"/>
        <c:majorUnit val="2.5"/>
        <c:minorUnit val="0.5"/>
      </c:valAx>
      <c:valAx>
        <c:axId val="3626264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Risk of exceeding target</a:t>
                </a:r>
                <a:r>
                  <a:rPr lang="en-GB" sz="1200" b="0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_</a:t>
                </a:r>
              </a:p>
            </c:rich>
          </c:tx>
          <c:layout>
            <c:manualLayout>
              <c:xMode val="edge"/>
              <c:yMode val="edge"/>
              <c:x val="3.0516480019622975E-2"/>
              <c:y val="0.2894248608534323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624512"/>
        <c:crosses val="autoZero"/>
        <c:crossBetween val="midCat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106680</xdr:rowOff>
    </xdr:from>
    <xdr:to>
      <xdr:col>11</xdr:col>
      <xdr:colOff>228600</xdr:colOff>
      <xdr:row>25</xdr:row>
      <xdr:rowOff>22860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pinheiro\Desktop\Alv\Modelo\Documents%20and%20Settings\lcobo\Local%20Settings\Temporary%20Internet%20Files\OLK4\An&#225;lise%20de%20balan&#231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e de balanço"/>
      <sheetName val="Data"/>
      <sheetName val="Purchasing"/>
      <sheetName val="#REF"/>
      <sheetName val="Hershey_Lance"/>
      <sheetName val="Food Indus Transactions"/>
      <sheetName val="Assumptions"/>
      <sheetName val="P&amp;L99YTD - Envasados"/>
      <sheetName val="P&amp;L98YTD -Envasados"/>
      <sheetName val="P&amp;L98YTD -Farinaceo"/>
      <sheetName val="P&amp;L99YTD - Farinaceo"/>
      <sheetName val="P&amp;L98YTD -Exportacion"/>
      <sheetName val="Control 1998"/>
      <sheetName val="Hoja1"/>
      <sheetName val="P&amp;L month"/>
      <sheetName val="Control 1999"/>
      <sheetName val="Tootsie"/>
      <sheetName val="Summary"/>
      <sheetName val="Controle"/>
      <sheetName val="MARECTR"/>
      <sheetName val="L100100"/>
      <sheetName val="Sheet2"/>
      <sheetName val="TAB"/>
      <sheetName val="Macro1"/>
      <sheetName val="Antigos - Trimestre"/>
      <sheetName val="FAT94=100"/>
      <sheetName val="D"/>
      <sheetName val="F"/>
      <sheetName val="G"/>
      <sheetName val="H"/>
      <sheetName val="PROD"/>
      <sheetName val="Capex 2RF"/>
      <sheetName val="2RFAFRES"/>
      <sheetName val="DEVELOP"/>
      <sheetName val="Volume"/>
      <sheetName val="PP"/>
      <sheetName val="A"/>
      <sheetName val="A&amp;C"/>
      <sheetName val="CH-OV"/>
      <sheetName val="AM"/>
      <sheetName val="BS"/>
      <sheetName val="ROMI"/>
      <sheetName val="OB97LST"/>
      <sheetName val="FINALPHP"/>
      <sheetName val="BASIS"/>
      <sheetName val="WACC"/>
      <sheetName val="DEPREC (Actual)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6"/>
  <sheetViews>
    <sheetView zoomScaleNormal="100" workbookViewId="0">
      <selection activeCell="B31" sqref="B31"/>
    </sheetView>
  </sheetViews>
  <sheetFormatPr defaultRowHeight="13.2" x14ac:dyDescent="0.25"/>
  <cols>
    <col min="1" max="1" width="8.21875" bestFit="1" customWidth="1"/>
    <col min="2" max="2" width="38.33203125" bestFit="1" customWidth="1"/>
    <col min="3" max="4" width="14.109375" bestFit="1" customWidth="1"/>
    <col min="5" max="5" width="12.44140625" bestFit="1" customWidth="1"/>
    <col min="6" max="7" width="14.109375" bestFit="1" customWidth="1"/>
    <col min="8" max="8" width="12.44140625" bestFit="1" customWidth="1"/>
    <col min="9" max="10" width="14.109375" bestFit="1" customWidth="1"/>
    <col min="11" max="11" width="17" customWidth="1"/>
  </cols>
  <sheetData>
    <row r="1" spans="1:12" x14ac:dyDescent="0.25">
      <c r="F1" s="79" t="s">
        <v>0</v>
      </c>
      <c r="G1" s="79"/>
      <c r="H1" s="79"/>
    </row>
    <row r="2" spans="1:12" x14ac:dyDescent="0.25">
      <c r="A2" s="1"/>
      <c r="C2" s="1" t="s">
        <v>1</v>
      </c>
      <c r="D2" s="1" t="s">
        <v>2</v>
      </c>
      <c r="E2" s="1" t="s">
        <v>3</v>
      </c>
      <c r="F2" t="s">
        <v>4</v>
      </c>
      <c r="G2" t="s">
        <v>5</v>
      </c>
      <c r="H2" t="s">
        <v>6</v>
      </c>
      <c r="I2" s="1" t="s">
        <v>7</v>
      </c>
      <c r="J2" s="1" t="s">
        <v>8</v>
      </c>
      <c r="K2" s="2" t="s">
        <v>9</v>
      </c>
    </row>
    <row r="3" spans="1:12" x14ac:dyDescent="0.25">
      <c r="A3" s="3"/>
      <c r="B3" s="4" t="s">
        <v>10</v>
      </c>
      <c r="C3" s="15">
        <f t="shared" ref="C3:J3" si="0">SUBTOTAL(9,C4:C7)</f>
        <v>0</v>
      </c>
      <c r="D3" s="15">
        <f t="shared" si="0"/>
        <v>0</v>
      </c>
      <c r="E3" s="15">
        <f t="shared" si="0"/>
        <v>0</v>
      </c>
      <c r="F3" s="15">
        <f t="shared" si="0"/>
        <v>0</v>
      </c>
      <c r="G3" s="15">
        <f t="shared" si="0"/>
        <v>0</v>
      </c>
      <c r="H3" s="15">
        <f t="shared" si="0"/>
        <v>0</v>
      </c>
      <c r="I3" s="15">
        <f t="shared" si="0"/>
        <v>0</v>
      </c>
      <c r="J3" s="15">
        <f t="shared" si="0"/>
        <v>6374775</v>
      </c>
      <c r="K3" s="16">
        <f>SUBTOTAL(9,K4:K7)</f>
        <v>6374775</v>
      </c>
      <c r="L3" s="5"/>
    </row>
    <row r="4" spans="1:12" x14ac:dyDescent="0.25">
      <c r="A4" s="3" t="s">
        <v>11</v>
      </c>
      <c r="B4" s="3" t="s">
        <v>12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1568726</v>
      </c>
      <c r="K4" s="9">
        <f t="shared" ref="K4:K7" si="1">SUM(C4:J4)</f>
        <v>1568726</v>
      </c>
      <c r="L4" s="5"/>
    </row>
    <row r="5" spans="1:12" x14ac:dyDescent="0.25">
      <c r="A5" s="3" t="s">
        <v>11</v>
      </c>
      <c r="B5" s="3" t="s">
        <v>458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2126023</v>
      </c>
      <c r="K5" s="9">
        <f t="shared" si="1"/>
        <v>2126023</v>
      </c>
      <c r="L5" s="5"/>
    </row>
    <row r="6" spans="1:12" x14ac:dyDescent="0.25">
      <c r="A6" s="3" t="s">
        <v>11</v>
      </c>
      <c r="B6" s="3" t="s">
        <v>13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101708</v>
      </c>
      <c r="K6" s="9">
        <f t="shared" si="1"/>
        <v>101708</v>
      </c>
      <c r="L6" s="5"/>
    </row>
    <row r="7" spans="1:12" x14ac:dyDescent="0.25">
      <c r="A7" s="3" t="s">
        <v>11</v>
      </c>
      <c r="B7" s="3" t="s">
        <v>14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2578318</v>
      </c>
      <c r="K7" s="9">
        <f t="shared" si="1"/>
        <v>2578318</v>
      </c>
      <c r="L7" s="5"/>
    </row>
    <row r="8" spans="1:12" x14ac:dyDescent="0.25">
      <c r="A8" s="3"/>
      <c r="B8" s="4" t="s">
        <v>15</v>
      </c>
      <c r="C8" s="15">
        <f t="shared" ref="C8:J8" si="2">SUBTOTAL(9,C9:C13)</f>
        <v>0</v>
      </c>
      <c r="D8" s="15">
        <f t="shared" si="2"/>
        <v>153863</v>
      </c>
      <c r="E8" s="15">
        <f t="shared" si="2"/>
        <v>146669</v>
      </c>
      <c r="F8" s="15">
        <f t="shared" si="2"/>
        <v>1808144</v>
      </c>
      <c r="G8" s="15">
        <f t="shared" si="2"/>
        <v>0</v>
      </c>
      <c r="H8" s="15">
        <f t="shared" si="2"/>
        <v>0</v>
      </c>
      <c r="I8" s="15">
        <f t="shared" si="2"/>
        <v>0</v>
      </c>
      <c r="J8" s="15">
        <f t="shared" si="2"/>
        <v>820776</v>
      </c>
      <c r="K8" s="16">
        <f>SUBTOTAL(9,K9:K13)</f>
        <v>2929452</v>
      </c>
      <c r="L8" s="5"/>
    </row>
    <row r="9" spans="1:12" x14ac:dyDescent="0.25">
      <c r="A9" s="3" t="s">
        <v>16</v>
      </c>
      <c r="B9" s="3" t="s">
        <v>17</v>
      </c>
      <c r="C9" s="5">
        <v>0</v>
      </c>
      <c r="D9" s="5">
        <v>143834</v>
      </c>
      <c r="E9" s="5">
        <v>39785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9">
        <f t="shared" ref="K9:K13" si="3">SUM(C9:J9)</f>
        <v>183619</v>
      </c>
      <c r="L9" s="5"/>
    </row>
    <row r="10" spans="1:12" x14ac:dyDescent="0.25">
      <c r="A10" s="3" t="s">
        <v>18</v>
      </c>
      <c r="B10" s="3" t="s">
        <v>19</v>
      </c>
      <c r="C10" s="5">
        <v>0</v>
      </c>
      <c r="D10" s="5">
        <v>0</v>
      </c>
      <c r="E10" s="5">
        <v>0</v>
      </c>
      <c r="F10" s="5">
        <v>1808144</v>
      </c>
      <c r="G10" s="5">
        <v>0</v>
      </c>
      <c r="H10" s="5">
        <v>0</v>
      </c>
      <c r="I10" s="5">
        <v>0</v>
      </c>
      <c r="J10" s="5">
        <v>0</v>
      </c>
      <c r="K10" s="9">
        <f t="shared" si="3"/>
        <v>1808144</v>
      </c>
      <c r="L10" s="5"/>
    </row>
    <row r="11" spans="1:12" x14ac:dyDescent="0.25">
      <c r="A11" s="3" t="s">
        <v>20</v>
      </c>
      <c r="B11" s="3" t="s">
        <v>21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372100</v>
      </c>
      <c r="K11" s="9">
        <f t="shared" si="3"/>
        <v>372100</v>
      </c>
      <c r="L11" s="5"/>
    </row>
    <row r="12" spans="1:12" x14ac:dyDescent="0.25">
      <c r="A12" s="3" t="s">
        <v>22</v>
      </c>
      <c r="B12" s="3" t="s">
        <v>23</v>
      </c>
      <c r="C12" s="5">
        <v>0</v>
      </c>
      <c r="D12" s="5">
        <v>10029</v>
      </c>
      <c r="E12" s="5">
        <v>106884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9">
        <f t="shared" si="3"/>
        <v>116913</v>
      </c>
      <c r="L12" s="5"/>
    </row>
    <row r="13" spans="1:12" x14ac:dyDescent="0.25">
      <c r="A13" s="3" t="s">
        <v>24</v>
      </c>
      <c r="B13" s="3" t="s">
        <v>25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448676</v>
      </c>
      <c r="K13" s="9">
        <f t="shared" si="3"/>
        <v>448676</v>
      </c>
      <c r="L13" s="5"/>
    </row>
    <row r="14" spans="1:12" x14ac:dyDescent="0.25">
      <c r="A14" s="3"/>
      <c r="B14" s="4" t="s">
        <v>26</v>
      </c>
      <c r="C14" s="15">
        <f t="shared" ref="C14:J14" si="4">SUBTOTAL(9,C15:C73)</f>
        <v>6122832</v>
      </c>
      <c r="D14" s="15">
        <f t="shared" si="4"/>
        <v>139528</v>
      </c>
      <c r="E14" s="15">
        <f t="shared" si="4"/>
        <v>745513</v>
      </c>
      <c r="F14" s="15">
        <f t="shared" si="4"/>
        <v>443</v>
      </c>
      <c r="G14" s="15">
        <f t="shared" si="4"/>
        <v>0</v>
      </c>
      <c r="H14" s="15">
        <f t="shared" si="4"/>
        <v>457686</v>
      </c>
      <c r="I14" s="15">
        <f t="shared" si="4"/>
        <v>669281</v>
      </c>
      <c r="J14" s="15">
        <f t="shared" si="4"/>
        <v>1083692</v>
      </c>
      <c r="K14" s="16">
        <f>SUBTOTAL(9,K15:K73)</f>
        <v>9218975</v>
      </c>
      <c r="L14" s="5"/>
    </row>
    <row r="15" spans="1:12" x14ac:dyDescent="0.25">
      <c r="A15" s="3"/>
      <c r="B15" s="6" t="s">
        <v>27</v>
      </c>
      <c r="C15" s="14">
        <f>SUBTOTAL(9,C16:C17)</f>
        <v>0</v>
      </c>
      <c r="D15" s="14">
        <f t="shared" ref="D15:K15" si="5">SUBTOTAL(9,D16:D17)</f>
        <v>0</v>
      </c>
      <c r="E15" s="14">
        <f t="shared" si="5"/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320659</v>
      </c>
      <c r="J15" s="14">
        <f t="shared" si="5"/>
        <v>0</v>
      </c>
      <c r="K15" s="12">
        <f t="shared" si="5"/>
        <v>320659</v>
      </c>
      <c r="L15" s="5"/>
    </row>
    <row r="16" spans="1:12" x14ac:dyDescent="0.25">
      <c r="A16" s="3" t="s">
        <v>28</v>
      </c>
      <c r="B16" s="3" t="s">
        <v>454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211451</v>
      </c>
      <c r="J16" s="5">
        <v>0</v>
      </c>
      <c r="K16" s="9">
        <f t="shared" ref="K16:K17" si="6">SUM(C16:J16)</f>
        <v>211451</v>
      </c>
      <c r="L16" s="5"/>
    </row>
    <row r="17" spans="1:12" x14ac:dyDescent="0.25">
      <c r="A17" s="3" t="s">
        <v>29</v>
      </c>
      <c r="B17" s="3" t="s">
        <v>30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109208</v>
      </c>
      <c r="J17" s="5">
        <v>0</v>
      </c>
      <c r="K17" s="9">
        <f t="shared" si="6"/>
        <v>109208</v>
      </c>
      <c r="L17" s="5"/>
    </row>
    <row r="18" spans="1:12" x14ac:dyDescent="0.25">
      <c r="A18" s="3"/>
      <c r="B18" s="6" t="s">
        <v>31</v>
      </c>
      <c r="C18" s="14">
        <f t="shared" ref="C18:J18" si="7">SUBTOTAL(9,C19:C28)</f>
        <v>8829</v>
      </c>
      <c r="D18" s="14">
        <f t="shared" si="7"/>
        <v>83777</v>
      </c>
      <c r="E18" s="14">
        <f t="shared" si="7"/>
        <v>69473</v>
      </c>
      <c r="F18" s="14">
        <f t="shared" si="7"/>
        <v>443</v>
      </c>
      <c r="G18" s="14">
        <f t="shared" si="7"/>
        <v>0</v>
      </c>
      <c r="H18" s="14">
        <f t="shared" si="7"/>
        <v>137686</v>
      </c>
      <c r="I18" s="14">
        <f t="shared" si="7"/>
        <v>263806</v>
      </c>
      <c r="J18" s="14">
        <f t="shared" si="7"/>
        <v>0</v>
      </c>
      <c r="K18" s="12">
        <f>SUBTOTAL(9,K19:K28)</f>
        <v>564014</v>
      </c>
      <c r="L18" s="5"/>
    </row>
    <row r="19" spans="1:12" x14ac:dyDescent="0.25">
      <c r="A19" s="3" t="s">
        <v>32</v>
      </c>
      <c r="B19" s="3" t="s">
        <v>33</v>
      </c>
      <c r="C19" s="5">
        <v>0</v>
      </c>
      <c r="D19" s="5">
        <v>2647</v>
      </c>
      <c r="E19" s="5">
        <v>1567</v>
      </c>
      <c r="F19" s="5">
        <v>244</v>
      </c>
      <c r="G19" s="5">
        <v>0</v>
      </c>
      <c r="H19" s="5">
        <v>35985</v>
      </c>
      <c r="I19" s="5">
        <v>37921</v>
      </c>
      <c r="J19" s="5">
        <v>0</v>
      </c>
      <c r="K19" s="9">
        <f t="shared" ref="K19:K28" si="8">SUM(C19:J19)</f>
        <v>78364</v>
      </c>
      <c r="L19" s="5"/>
    </row>
    <row r="20" spans="1:12" x14ac:dyDescent="0.25">
      <c r="A20" s="3" t="s">
        <v>32</v>
      </c>
      <c r="B20" s="3" t="s">
        <v>34</v>
      </c>
      <c r="C20" s="5">
        <v>0</v>
      </c>
      <c r="D20" s="5">
        <v>23106</v>
      </c>
      <c r="E20" s="5">
        <v>22542</v>
      </c>
      <c r="F20" s="5">
        <v>199</v>
      </c>
      <c r="G20" s="5">
        <v>0</v>
      </c>
      <c r="H20" s="5">
        <v>95961</v>
      </c>
      <c r="I20" s="5">
        <v>70220</v>
      </c>
      <c r="J20" s="5">
        <v>0</v>
      </c>
      <c r="K20" s="9">
        <f t="shared" si="8"/>
        <v>212028</v>
      </c>
      <c r="L20" s="5"/>
    </row>
    <row r="21" spans="1:12" x14ac:dyDescent="0.25">
      <c r="A21" s="3" t="s">
        <v>35</v>
      </c>
      <c r="B21" s="3" t="s">
        <v>36</v>
      </c>
      <c r="C21" s="5">
        <v>0</v>
      </c>
      <c r="D21" s="5">
        <v>0</v>
      </c>
      <c r="E21" s="5">
        <v>3892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9">
        <f t="shared" si="8"/>
        <v>3892</v>
      </c>
      <c r="L21" s="5"/>
    </row>
    <row r="22" spans="1:12" x14ac:dyDescent="0.25">
      <c r="A22" s="3" t="s">
        <v>35</v>
      </c>
      <c r="B22" s="3" t="s">
        <v>448</v>
      </c>
      <c r="C22" s="5">
        <v>0</v>
      </c>
      <c r="D22" s="5">
        <v>0</v>
      </c>
      <c r="E22" s="5">
        <v>8752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9">
        <f t="shared" si="8"/>
        <v>8752</v>
      </c>
      <c r="L22" s="5"/>
    </row>
    <row r="23" spans="1:12" x14ac:dyDescent="0.25">
      <c r="A23" s="3" t="s">
        <v>35</v>
      </c>
      <c r="B23" s="3" t="s">
        <v>449</v>
      </c>
      <c r="C23" s="5">
        <v>0</v>
      </c>
      <c r="D23" s="5">
        <v>0</v>
      </c>
      <c r="E23" s="5">
        <v>2547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9">
        <f t="shared" si="8"/>
        <v>2547</v>
      </c>
      <c r="L23" s="5"/>
    </row>
    <row r="24" spans="1:12" x14ac:dyDescent="0.25">
      <c r="A24" s="3" t="s">
        <v>37</v>
      </c>
      <c r="B24" s="3" t="s">
        <v>38</v>
      </c>
      <c r="C24" s="5">
        <v>8829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9">
        <f t="shared" si="8"/>
        <v>8829</v>
      </c>
      <c r="L24" s="5"/>
    </row>
    <row r="25" spans="1:12" x14ac:dyDescent="0.25">
      <c r="A25" s="3" t="s">
        <v>39</v>
      </c>
      <c r="B25" s="3" t="s">
        <v>40</v>
      </c>
      <c r="C25" s="5">
        <v>0</v>
      </c>
      <c r="D25" s="5">
        <v>5761</v>
      </c>
      <c r="E25" s="5">
        <v>733</v>
      </c>
      <c r="F25" s="5">
        <v>0</v>
      </c>
      <c r="G25" s="5">
        <v>0</v>
      </c>
      <c r="H25" s="5">
        <v>2214</v>
      </c>
      <c r="I25" s="5">
        <v>0</v>
      </c>
      <c r="J25" s="5">
        <v>0</v>
      </c>
      <c r="K25" s="9">
        <f t="shared" si="8"/>
        <v>8708</v>
      </c>
      <c r="L25" s="5"/>
    </row>
    <row r="26" spans="1:12" x14ac:dyDescent="0.25">
      <c r="A26" s="3" t="s">
        <v>41</v>
      </c>
      <c r="B26" s="3" t="s">
        <v>42</v>
      </c>
      <c r="C26" s="5">
        <v>0</v>
      </c>
      <c r="D26" s="5">
        <v>5626</v>
      </c>
      <c r="E26" s="5">
        <v>655</v>
      </c>
      <c r="F26" s="5">
        <v>0</v>
      </c>
      <c r="G26" s="5">
        <v>0</v>
      </c>
      <c r="H26" s="5">
        <v>1438</v>
      </c>
      <c r="I26" s="5">
        <v>0</v>
      </c>
      <c r="J26" s="5">
        <v>0</v>
      </c>
      <c r="K26" s="9">
        <f t="shared" si="8"/>
        <v>7719</v>
      </c>
      <c r="L26" s="5"/>
    </row>
    <row r="27" spans="1:12" x14ac:dyDescent="0.25">
      <c r="A27" s="3" t="s">
        <v>43</v>
      </c>
      <c r="B27" s="3" t="s">
        <v>44</v>
      </c>
      <c r="C27" s="5">
        <v>0</v>
      </c>
      <c r="D27" s="5">
        <v>1285</v>
      </c>
      <c r="E27" s="5">
        <v>294</v>
      </c>
      <c r="F27" s="5">
        <v>0</v>
      </c>
      <c r="G27" s="5">
        <v>0</v>
      </c>
      <c r="H27" s="5">
        <v>0</v>
      </c>
      <c r="I27" s="5">
        <v>155665</v>
      </c>
      <c r="J27" s="5">
        <v>0</v>
      </c>
      <c r="K27" s="9">
        <f t="shared" si="8"/>
        <v>157244</v>
      </c>
      <c r="L27" s="5"/>
    </row>
    <row r="28" spans="1:12" x14ac:dyDescent="0.25">
      <c r="A28" s="3" t="s">
        <v>45</v>
      </c>
      <c r="B28" s="3" t="s">
        <v>46</v>
      </c>
      <c r="C28" s="5">
        <v>0</v>
      </c>
      <c r="D28" s="5">
        <v>45352</v>
      </c>
      <c r="E28" s="5">
        <v>28491</v>
      </c>
      <c r="F28" s="5">
        <v>0</v>
      </c>
      <c r="G28" s="5">
        <v>0</v>
      </c>
      <c r="H28" s="5">
        <v>2088</v>
      </c>
      <c r="I28" s="5">
        <v>0</v>
      </c>
      <c r="J28" s="5">
        <v>0</v>
      </c>
      <c r="K28" s="9">
        <f t="shared" si="8"/>
        <v>75931</v>
      </c>
      <c r="L28" s="5"/>
    </row>
    <row r="29" spans="1:12" x14ac:dyDescent="0.25">
      <c r="A29" s="3"/>
      <c r="B29" s="6" t="s">
        <v>47</v>
      </c>
      <c r="C29" s="14">
        <f t="shared" ref="C29:J29" si="9">SUBTOTAL(9,C30:C41)</f>
        <v>2062854</v>
      </c>
      <c r="D29" s="14">
        <f t="shared" si="9"/>
        <v>0</v>
      </c>
      <c r="E29" s="14">
        <f t="shared" si="9"/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0</v>
      </c>
      <c r="J29" s="14">
        <f t="shared" si="9"/>
        <v>0</v>
      </c>
      <c r="K29" s="12">
        <f>SUBTOTAL(9,K30:K41)</f>
        <v>2062854</v>
      </c>
      <c r="L29" s="5"/>
    </row>
    <row r="30" spans="1:12" x14ac:dyDescent="0.25">
      <c r="A30" s="3" t="s">
        <v>48</v>
      </c>
      <c r="B30" s="3" t="s">
        <v>49</v>
      </c>
      <c r="C30" s="5">
        <v>620080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9">
        <f t="shared" ref="K30:K41" si="10">SUM(C30:J30)</f>
        <v>620080</v>
      </c>
      <c r="L30" s="5"/>
    </row>
    <row r="31" spans="1:12" x14ac:dyDescent="0.25">
      <c r="A31" s="3" t="s">
        <v>439</v>
      </c>
      <c r="B31" s="3" t="s">
        <v>50</v>
      </c>
      <c r="C31" s="5">
        <v>50876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9">
        <f t="shared" si="10"/>
        <v>50876</v>
      </c>
      <c r="L31" s="5"/>
    </row>
    <row r="32" spans="1:12" x14ac:dyDescent="0.25">
      <c r="A32" s="3" t="s">
        <v>440</v>
      </c>
      <c r="B32" s="3" t="s">
        <v>50</v>
      </c>
      <c r="C32" s="5">
        <v>56748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9">
        <f t="shared" si="10"/>
        <v>56748</v>
      </c>
      <c r="L32" s="5"/>
    </row>
    <row r="33" spans="1:12" x14ac:dyDescent="0.25">
      <c r="A33" s="3" t="s">
        <v>37</v>
      </c>
      <c r="B33" s="3" t="s">
        <v>51</v>
      </c>
      <c r="C33" s="5">
        <v>54502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9">
        <f t="shared" si="10"/>
        <v>54502</v>
      </c>
      <c r="L33" s="5"/>
    </row>
    <row r="34" spans="1:12" x14ac:dyDescent="0.25">
      <c r="A34" s="3" t="s">
        <v>48</v>
      </c>
      <c r="B34" s="3" t="s">
        <v>52</v>
      </c>
      <c r="C34" s="5">
        <v>195814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9">
        <f t="shared" si="10"/>
        <v>195814</v>
      </c>
      <c r="L34" s="5"/>
    </row>
    <row r="35" spans="1:12" x14ac:dyDescent="0.25">
      <c r="A35" s="3" t="s">
        <v>447</v>
      </c>
      <c r="B35" s="3" t="s">
        <v>53</v>
      </c>
      <c r="C35" s="5">
        <v>133825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9">
        <f t="shared" si="10"/>
        <v>133825</v>
      </c>
      <c r="L35" s="5"/>
    </row>
    <row r="36" spans="1:12" x14ac:dyDescent="0.25">
      <c r="A36" s="3" t="s">
        <v>48</v>
      </c>
      <c r="B36" s="3" t="s">
        <v>52</v>
      </c>
      <c r="C36" s="5">
        <v>381275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9">
        <f t="shared" si="10"/>
        <v>381275</v>
      </c>
      <c r="L36" s="5"/>
    </row>
    <row r="37" spans="1:12" x14ac:dyDescent="0.25">
      <c r="A37" s="3" t="s">
        <v>54</v>
      </c>
      <c r="B37" s="3" t="s">
        <v>55</v>
      </c>
      <c r="C37" s="5">
        <v>35211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9">
        <f t="shared" si="10"/>
        <v>35211</v>
      </c>
      <c r="L37" s="5"/>
    </row>
    <row r="38" spans="1:12" x14ac:dyDescent="0.25">
      <c r="A38" s="3" t="s">
        <v>443</v>
      </c>
      <c r="B38" s="3" t="s">
        <v>53</v>
      </c>
      <c r="C38" s="5">
        <v>184541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9">
        <f t="shared" si="10"/>
        <v>184541</v>
      </c>
      <c r="L38" s="5"/>
    </row>
    <row r="39" spans="1:12" x14ac:dyDescent="0.25">
      <c r="A39" s="3" t="s">
        <v>444</v>
      </c>
      <c r="B39" s="3" t="s">
        <v>53</v>
      </c>
      <c r="C39" s="5">
        <v>235476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9">
        <f t="shared" si="10"/>
        <v>235476</v>
      </c>
      <c r="L39" s="5"/>
    </row>
    <row r="40" spans="1:12" x14ac:dyDescent="0.25">
      <c r="A40" s="3" t="s">
        <v>445</v>
      </c>
      <c r="B40" s="3" t="s">
        <v>53</v>
      </c>
      <c r="C40" s="5">
        <v>16746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9">
        <f t="shared" si="10"/>
        <v>16746</v>
      </c>
      <c r="L40" s="5"/>
    </row>
    <row r="41" spans="1:12" x14ac:dyDescent="0.25">
      <c r="A41" s="3" t="s">
        <v>446</v>
      </c>
      <c r="B41" s="3" t="s">
        <v>53</v>
      </c>
      <c r="C41" s="5">
        <v>97760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9">
        <f t="shared" si="10"/>
        <v>97760</v>
      </c>
      <c r="L41" s="5"/>
    </row>
    <row r="42" spans="1:12" x14ac:dyDescent="0.25">
      <c r="A42" s="3"/>
      <c r="B42" s="6" t="s">
        <v>56</v>
      </c>
      <c r="C42" s="14">
        <f>SUBTOTAL(9,C43:C56)</f>
        <v>3342474</v>
      </c>
      <c r="D42" s="14">
        <f t="shared" ref="D42:K42" si="11">SUBTOTAL(9,D43:D56)</f>
        <v>0</v>
      </c>
      <c r="E42" s="14">
        <f t="shared" si="11"/>
        <v>0</v>
      </c>
      <c r="F42" s="14">
        <f t="shared" si="11"/>
        <v>0</v>
      </c>
      <c r="G42" s="14">
        <f t="shared" si="11"/>
        <v>0</v>
      </c>
      <c r="H42" s="14">
        <f t="shared" si="11"/>
        <v>0</v>
      </c>
      <c r="I42" s="14">
        <f t="shared" si="11"/>
        <v>0</v>
      </c>
      <c r="J42" s="14">
        <f t="shared" si="11"/>
        <v>0</v>
      </c>
      <c r="K42" s="12">
        <f t="shared" si="11"/>
        <v>3342474</v>
      </c>
      <c r="L42" s="5"/>
    </row>
    <row r="43" spans="1:12" x14ac:dyDescent="0.25">
      <c r="A43" s="3" t="s">
        <v>37</v>
      </c>
      <c r="B43" s="3" t="s">
        <v>57</v>
      </c>
      <c r="C43" s="5">
        <v>506632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9">
        <f t="shared" ref="K43:K58" si="12">SUM(C43:J43)</f>
        <v>506632</v>
      </c>
      <c r="L43" s="5"/>
    </row>
    <row r="44" spans="1:12" x14ac:dyDescent="0.25">
      <c r="A44" s="3" t="s">
        <v>48</v>
      </c>
      <c r="B44" s="3" t="s">
        <v>58</v>
      </c>
      <c r="C44" s="5">
        <v>319125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9">
        <f t="shared" si="12"/>
        <v>319125</v>
      </c>
      <c r="L44" s="5"/>
    </row>
    <row r="45" spans="1:12" x14ac:dyDescent="0.25">
      <c r="A45" s="3" t="s">
        <v>48</v>
      </c>
      <c r="B45" s="3" t="s">
        <v>59</v>
      </c>
      <c r="C45" s="5">
        <v>259741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9">
        <f t="shared" si="12"/>
        <v>259741</v>
      </c>
      <c r="L45" s="5"/>
    </row>
    <row r="46" spans="1:12" x14ac:dyDescent="0.25">
      <c r="A46" s="3" t="s">
        <v>439</v>
      </c>
      <c r="B46" s="3" t="s">
        <v>53</v>
      </c>
      <c r="C46" s="5">
        <v>321013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9">
        <f t="shared" si="12"/>
        <v>321013</v>
      </c>
      <c r="L46" s="5"/>
    </row>
    <row r="47" spans="1:12" x14ac:dyDescent="0.25">
      <c r="A47" s="3" t="s">
        <v>440</v>
      </c>
      <c r="B47" s="3" t="s">
        <v>53</v>
      </c>
      <c r="C47" s="5">
        <v>212927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9">
        <f t="shared" si="12"/>
        <v>212927</v>
      </c>
      <c r="L47" s="5"/>
    </row>
    <row r="48" spans="1:12" x14ac:dyDescent="0.25">
      <c r="A48" s="3" t="s">
        <v>441</v>
      </c>
      <c r="B48" s="3" t="s">
        <v>53</v>
      </c>
      <c r="C48" s="5">
        <v>107108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9">
        <f t="shared" si="12"/>
        <v>107108</v>
      </c>
      <c r="L48" s="5"/>
    </row>
    <row r="49" spans="1:12" x14ac:dyDescent="0.25">
      <c r="A49" s="3" t="s">
        <v>442</v>
      </c>
      <c r="B49" s="3" t="s">
        <v>53</v>
      </c>
      <c r="C49" s="5">
        <v>397298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9">
        <f t="shared" si="12"/>
        <v>397298</v>
      </c>
      <c r="L49" s="5"/>
    </row>
    <row r="50" spans="1:12" x14ac:dyDescent="0.25">
      <c r="A50" s="3" t="s">
        <v>450</v>
      </c>
      <c r="B50" s="3" t="s">
        <v>60</v>
      </c>
      <c r="C50" s="5">
        <v>163487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9">
        <f t="shared" si="12"/>
        <v>163487</v>
      </c>
      <c r="L50" s="5"/>
    </row>
    <row r="51" spans="1:12" x14ac:dyDescent="0.25">
      <c r="A51" s="3" t="s">
        <v>451</v>
      </c>
      <c r="B51" s="3" t="s">
        <v>60</v>
      </c>
      <c r="C51" s="5">
        <v>147805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9">
        <f t="shared" si="12"/>
        <v>147805</v>
      </c>
      <c r="L51" s="5"/>
    </row>
    <row r="52" spans="1:12" x14ac:dyDescent="0.25">
      <c r="A52" s="3" t="s">
        <v>37</v>
      </c>
      <c r="B52" s="3" t="s">
        <v>61</v>
      </c>
      <c r="C52" s="5">
        <v>95486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9">
        <f t="shared" si="12"/>
        <v>95486</v>
      </c>
      <c r="L52" s="5"/>
    </row>
    <row r="53" spans="1:12" x14ac:dyDescent="0.25">
      <c r="A53" s="3" t="s">
        <v>48</v>
      </c>
      <c r="B53" s="3" t="s">
        <v>62</v>
      </c>
      <c r="C53" s="5">
        <v>268382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9">
        <f t="shared" si="12"/>
        <v>268382</v>
      </c>
      <c r="L53" s="5"/>
    </row>
    <row r="54" spans="1:12" x14ac:dyDescent="0.25">
      <c r="A54" s="3" t="s">
        <v>37</v>
      </c>
      <c r="B54" s="3" t="s">
        <v>63</v>
      </c>
      <c r="C54" s="5">
        <v>178407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9">
        <f t="shared" si="12"/>
        <v>178407</v>
      </c>
      <c r="L54" s="5"/>
    </row>
    <row r="55" spans="1:12" x14ac:dyDescent="0.25">
      <c r="A55" s="3" t="s">
        <v>37</v>
      </c>
      <c r="B55" s="3" t="s">
        <v>64</v>
      </c>
      <c r="C55" s="5">
        <v>184523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9">
        <f t="shared" si="12"/>
        <v>184523</v>
      </c>
      <c r="L55" s="5"/>
    </row>
    <row r="56" spans="1:12" x14ac:dyDescent="0.25">
      <c r="A56" s="3" t="s">
        <v>37</v>
      </c>
      <c r="B56" s="3" t="s">
        <v>61</v>
      </c>
      <c r="C56" s="5">
        <v>180540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9">
        <f t="shared" si="12"/>
        <v>180540</v>
      </c>
      <c r="L56" s="5"/>
    </row>
    <row r="57" spans="1:12" x14ac:dyDescent="0.25">
      <c r="A57" s="3"/>
      <c r="B57" s="6" t="s">
        <v>65</v>
      </c>
      <c r="C57" s="14">
        <f>SUBTOTAL(9,C58:C59)</f>
        <v>708675</v>
      </c>
      <c r="D57" s="14">
        <f t="shared" ref="D57:K57" si="13">SUBTOTAL(9,D58:D59)</f>
        <v>0</v>
      </c>
      <c r="E57" s="14">
        <f t="shared" si="13"/>
        <v>0</v>
      </c>
      <c r="F57" s="14">
        <f t="shared" si="13"/>
        <v>0</v>
      </c>
      <c r="G57" s="14">
        <f t="shared" si="13"/>
        <v>0</v>
      </c>
      <c r="H57" s="14">
        <f t="shared" si="13"/>
        <v>0</v>
      </c>
      <c r="I57" s="14">
        <f t="shared" si="13"/>
        <v>0</v>
      </c>
      <c r="J57" s="14">
        <f t="shared" si="13"/>
        <v>0</v>
      </c>
      <c r="K57" s="12">
        <f t="shared" si="13"/>
        <v>708675</v>
      </c>
      <c r="L57" s="5"/>
    </row>
    <row r="58" spans="1:12" x14ac:dyDescent="0.25">
      <c r="A58" s="3" t="s">
        <v>37</v>
      </c>
      <c r="B58" s="3" t="s">
        <v>66</v>
      </c>
      <c r="C58" s="5">
        <v>498580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9">
        <f t="shared" si="12"/>
        <v>498580</v>
      </c>
      <c r="L58" s="5"/>
    </row>
    <row r="59" spans="1:12" x14ac:dyDescent="0.25">
      <c r="A59" s="3" t="s">
        <v>37</v>
      </c>
      <c r="B59" s="3" t="s">
        <v>67</v>
      </c>
      <c r="C59" s="5">
        <v>210095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9">
        <f>SUM(C59:J59)</f>
        <v>210095</v>
      </c>
      <c r="L59" s="5"/>
    </row>
    <row r="60" spans="1:12" x14ac:dyDescent="0.25">
      <c r="A60" s="3"/>
      <c r="B60" s="6" t="s">
        <v>68</v>
      </c>
      <c r="C60" s="14">
        <f t="shared" ref="C60:J60" si="14">SUBTOTAL(9,C61:C63)</f>
        <v>0</v>
      </c>
      <c r="D60" s="14">
        <f t="shared" si="14"/>
        <v>0</v>
      </c>
      <c r="E60" s="14">
        <f t="shared" si="14"/>
        <v>250326</v>
      </c>
      <c r="F60" s="14">
        <f t="shared" si="14"/>
        <v>0</v>
      </c>
      <c r="G60" s="14">
        <f t="shared" si="14"/>
        <v>0</v>
      </c>
      <c r="H60" s="14">
        <f t="shared" si="14"/>
        <v>90023</v>
      </c>
      <c r="I60" s="14">
        <f t="shared" si="14"/>
        <v>0</v>
      </c>
      <c r="J60" s="14">
        <f t="shared" si="14"/>
        <v>842319</v>
      </c>
      <c r="K60" s="12">
        <f>SUBTOTAL(9,K61:K63)</f>
        <v>1182668</v>
      </c>
      <c r="L60" s="5"/>
    </row>
    <row r="61" spans="1:12" x14ac:dyDescent="0.25">
      <c r="A61" s="3" t="s">
        <v>54</v>
      </c>
      <c r="B61" s="3" t="s">
        <v>69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34202</v>
      </c>
      <c r="K61" s="9">
        <f t="shared" ref="K61:K63" si="15">SUM(C61:J61)</f>
        <v>34202</v>
      </c>
      <c r="L61" s="5"/>
    </row>
    <row r="62" spans="1:12" x14ac:dyDescent="0.25">
      <c r="A62" s="3" t="s">
        <v>70</v>
      </c>
      <c r="B62" s="3" t="s">
        <v>71</v>
      </c>
      <c r="C62" s="5">
        <v>0</v>
      </c>
      <c r="D62" s="5">
        <v>0</v>
      </c>
      <c r="E62" s="5">
        <v>250326</v>
      </c>
      <c r="F62" s="5">
        <v>0</v>
      </c>
      <c r="G62" s="5">
        <v>0</v>
      </c>
      <c r="H62" s="5">
        <v>90023</v>
      </c>
      <c r="I62" s="5">
        <v>0</v>
      </c>
      <c r="J62" s="5">
        <v>30927</v>
      </c>
      <c r="K62" s="9">
        <f t="shared" si="15"/>
        <v>371276</v>
      </c>
      <c r="L62" s="5"/>
    </row>
    <row r="63" spans="1:12" x14ac:dyDescent="0.25">
      <c r="A63" s="3" t="s">
        <v>72</v>
      </c>
      <c r="B63" s="3" t="s">
        <v>73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777190</v>
      </c>
      <c r="K63" s="9">
        <f t="shared" si="15"/>
        <v>777190</v>
      </c>
      <c r="L63" s="5"/>
    </row>
    <row r="64" spans="1:12" x14ac:dyDescent="0.25">
      <c r="A64" s="3"/>
      <c r="B64" s="6" t="s">
        <v>74</v>
      </c>
      <c r="C64" s="14">
        <f t="shared" ref="C64:J64" si="16">SUBTOTAL(9,C65:C73)</f>
        <v>0</v>
      </c>
      <c r="D64" s="14">
        <f t="shared" si="16"/>
        <v>55751</v>
      </c>
      <c r="E64" s="14">
        <f t="shared" si="16"/>
        <v>425714</v>
      </c>
      <c r="F64" s="14">
        <f t="shared" si="16"/>
        <v>0</v>
      </c>
      <c r="G64" s="14">
        <f t="shared" si="16"/>
        <v>0</v>
      </c>
      <c r="H64" s="14">
        <f t="shared" si="16"/>
        <v>229977</v>
      </c>
      <c r="I64" s="14">
        <f t="shared" si="16"/>
        <v>84816</v>
      </c>
      <c r="J64" s="14">
        <f t="shared" si="16"/>
        <v>241373</v>
      </c>
      <c r="K64" s="12">
        <f>SUBTOTAL(9,K65:K73)</f>
        <v>1037631</v>
      </c>
      <c r="L64" s="5"/>
    </row>
    <row r="65" spans="1:12" x14ac:dyDescent="0.25">
      <c r="A65" s="3" t="s">
        <v>35</v>
      </c>
      <c r="B65" s="3" t="s">
        <v>436</v>
      </c>
      <c r="C65" s="5">
        <v>0</v>
      </c>
      <c r="D65" s="5">
        <v>0</v>
      </c>
      <c r="E65" s="5">
        <v>72936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9">
        <f t="shared" ref="K65:K73" si="17">SUM(C65:J65)</f>
        <v>72936</v>
      </c>
      <c r="L65" s="5"/>
    </row>
    <row r="66" spans="1:12" x14ac:dyDescent="0.25">
      <c r="A66" s="3" t="s">
        <v>35</v>
      </c>
      <c r="B66" s="3" t="s">
        <v>437</v>
      </c>
      <c r="C66" s="5">
        <v>0</v>
      </c>
      <c r="D66" s="5">
        <v>0</v>
      </c>
      <c r="E66" s="5">
        <v>165102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9">
        <f t="shared" si="17"/>
        <v>165102</v>
      </c>
      <c r="L66" s="5"/>
    </row>
    <row r="67" spans="1:12" x14ac:dyDescent="0.25">
      <c r="A67" s="3" t="s">
        <v>35</v>
      </c>
      <c r="B67" s="3" t="s">
        <v>438</v>
      </c>
      <c r="C67" s="5">
        <v>0</v>
      </c>
      <c r="D67" s="5">
        <v>0</v>
      </c>
      <c r="E67" s="5">
        <v>44816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9">
        <f t="shared" si="17"/>
        <v>44816</v>
      </c>
      <c r="L67" s="5"/>
    </row>
    <row r="68" spans="1:12" x14ac:dyDescent="0.25">
      <c r="A68" s="3" t="s">
        <v>32</v>
      </c>
      <c r="B68" s="3" t="s">
        <v>75</v>
      </c>
      <c r="C68" s="5">
        <v>0</v>
      </c>
      <c r="D68" s="5">
        <v>0</v>
      </c>
      <c r="E68" s="5">
        <v>89575</v>
      </c>
      <c r="F68" s="5">
        <v>0</v>
      </c>
      <c r="G68" s="5">
        <v>0</v>
      </c>
      <c r="H68" s="5">
        <v>3014</v>
      </c>
      <c r="I68" s="5">
        <v>55386</v>
      </c>
      <c r="J68" s="5">
        <v>11548</v>
      </c>
      <c r="K68" s="9">
        <f t="shared" si="17"/>
        <v>159523</v>
      </c>
      <c r="L68" s="5"/>
    </row>
    <row r="69" spans="1:12" x14ac:dyDescent="0.25">
      <c r="A69" s="3" t="s">
        <v>76</v>
      </c>
      <c r="B69" s="3" t="s">
        <v>77</v>
      </c>
      <c r="C69" s="5">
        <v>0</v>
      </c>
      <c r="D69" s="5">
        <v>0</v>
      </c>
      <c r="E69" s="5">
        <v>11459</v>
      </c>
      <c r="F69" s="5">
        <v>0</v>
      </c>
      <c r="G69" s="5">
        <v>0</v>
      </c>
      <c r="H69" s="5">
        <v>143984</v>
      </c>
      <c r="I69" s="5">
        <v>26264</v>
      </c>
      <c r="J69" s="5">
        <v>3813</v>
      </c>
      <c r="K69" s="9">
        <f t="shared" si="17"/>
        <v>185520</v>
      </c>
      <c r="L69" s="5"/>
    </row>
    <row r="70" spans="1:12" x14ac:dyDescent="0.25">
      <c r="A70" s="3" t="s">
        <v>76</v>
      </c>
      <c r="B70" s="3" t="s">
        <v>78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35708</v>
      </c>
      <c r="I70" s="5">
        <v>0</v>
      </c>
      <c r="J70" s="5">
        <v>0</v>
      </c>
      <c r="K70" s="9">
        <f t="shared" si="17"/>
        <v>35708</v>
      </c>
      <c r="L70" s="5"/>
    </row>
    <row r="71" spans="1:12" x14ac:dyDescent="0.25">
      <c r="A71" s="3" t="s">
        <v>76</v>
      </c>
      <c r="B71" s="3" t="s">
        <v>79</v>
      </c>
      <c r="C71" s="5">
        <v>0</v>
      </c>
      <c r="D71" s="5">
        <v>0</v>
      </c>
      <c r="E71" s="5">
        <v>23452</v>
      </c>
      <c r="F71" s="5">
        <v>0</v>
      </c>
      <c r="G71" s="5">
        <v>0</v>
      </c>
      <c r="H71" s="5">
        <v>28135</v>
      </c>
      <c r="I71" s="5">
        <v>0</v>
      </c>
      <c r="J71" s="5">
        <v>0</v>
      </c>
      <c r="K71" s="9">
        <f t="shared" si="17"/>
        <v>51587</v>
      </c>
      <c r="L71" s="5"/>
    </row>
    <row r="72" spans="1:12" x14ac:dyDescent="0.25">
      <c r="A72" s="3" t="s">
        <v>54</v>
      </c>
      <c r="B72" s="3" t="s">
        <v>80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226012</v>
      </c>
      <c r="K72" s="9">
        <f t="shared" si="17"/>
        <v>226012</v>
      </c>
      <c r="L72" s="5"/>
    </row>
    <row r="73" spans="1:12" x14ac:dyDescent="0.25">
      <c r="A73" s="3" t="s">
        <v>35</v>
      </c>
      <c r="B73" s="3" t="s">
        <v>36</v>
      </c>
      <c r="C73" s="5">
        <v>0</v>
      </c>
      <c r="D73" s="5">
        <v>55751</v>
      </c>
      <c r="E73" s="5">
        <v>18374</v>
      </c>
      <c r="F73" s="5">
        <v>0</v>
      </c>
      <c r="G73" s="5">
        <v>0</v>
      </c>
      <c r="H73" s="5">
        <v>19136</v>
      </c>
      <c r="I73" s="5">
        <v>3166</v>
      </c>
      <c r="J73" s="5">
        <v>0</v>
      </c>
      <c r="K73" s="9">
        <f t="shared" si="17"/>
        <v>96427</v>
      </c>
      <c r="L73" s="5"/>
    </row>
    <row r="74" spans="1:12" x14ac:dyDescent="0.25">
      <c r="A74" s="3"/>
      <c r="B74" s="4" t="s">
        <v>81</v>
      </c>
      <c r="C74" s="15">
        <f t="shared" ref="C74:K74" si="18">SUBTOTAL(9,C75:C361)</f>
        <v>2335738</v>
      </c>
      <c r="D74" s="15">
        <f t="shared" si="18"/>
        <v>10500017</v>
      </c>
      <c r="E74" s="15">
        <f t="shared" si="18"/>
        <v>4110275</v>
      </c>
      <c r="F74" s="15">
        <f t="shared" si="18"/>
        <v>3093288</v>
      </c>
      <c r="G74" s="15">
        <f t="shared" si="18"/>
        <v>4973734</v>
      </c>
      <c r="H74" s="15">
        <f t="shared" si="18"/>
        <v>6295248</v>
      </c>
      <c r="I74" s="15">
        <f t="shared" si="18"/>
        <v>6141234</v>
      </c>
      <c r="J74" s="15">
        <f t="shared" si="18"/>
        <v>450940</v>
      </c>
      <c r="K74" s="16">
        <f t="shared" si="18"/>
        <v>37900474</v>
      </c>
      <c r="L74" s="5"/>
    </row>
    <row r="75" spans="1:12" x14ac:dyDescent="0.25">
      <c r="A75" s="3"/>
      <c r="B75" s="7" t="s">
        <v>82</v>
      </c>
      <c r="C75" s="17">
        <f t="shared" ref="C75:J75" si="19">SUBTOTAL(9,C76:C155)</f>
        <v>2335738</v>
      </c>
      <c r="D75" s="17">
        <f t="shared" si="19"/>
        <v>3519547</v>
      </c>
      <c r="E75" s="17">
        <f t="shared" si="19"/>
        <v>2355301</v>
      </c>
      <c r="F75" s="17">
        <f t="shared" si="19"/>
        <v>64613</v>
      </c>
      <c r="G75" s="17">
        <f t="shared" si="19"/>
        <v>0</v>
      </c>
      <c r="H75" s="17">
        <f t="shared" si="19"/>
        <v>1044428</v>
      </c>
      <c r="I75" s="17">
        <f t="shared" si="19"/>
        <v>2616203</v>
      </c>
      <c r="J75" s="17">
        <f t="shared" si="19"/>
        <v>449451</v>
      </c>
      <c r="K75" s="18">
        <f>SUBTOTAL(9,K76:K155)</f>
        <v>12385281</v>
      </c>
      <c r="L75" s="5"/>
    </row>
    <row r="76" spans="1:12" x14ac:dyDescent="0.25">
      <c r="A76" s="3"/>
      <c r="B76" s="6" t="s">
        <v>83</v>
      </c>
      <c r="C76" s="14">
        <f t="shared" ref="C76:J76" si="20">SUBTOTAL(9,C77:C82)</f>
        <v>2103961</v>
      </c>
      <c r="D76" s="14">
        <f t="shared" si="20"/>
        <v>0</v>
      </c>
      <c r="E76" s="14">
        <f t="shared" si="20"/>
        <v>0</v>
      </c>
      <c r="F76" s="14">
        <f t="shared" si="20"/>
        <v>0</v>
      </c>
      <c r="G76" s="14">
        <f t="shared" si="20"/>
        <v>0</v>
      </c>
      <c r="H76" s="14">
        <f t="shared" si="20"/>
        <v>0</v>
      </c>
      <c r="I76" s="14">
        <f t="shared" si="20"/>
        <v>0</v>
      </c>
      <c r="J76" s="14">
        <f t="shared" si="20"/>
        <v>0</v>
      </c>
      <c r="K76" s="12">
        <f>SUBTOTAL(9,K77:K82)</f>
        <v>2103961</v>
      </c>
      <c r="L76" s="5"/>
    </row>
    <row r="77" spans="1:12" x14ac:dyDescent="0.25">
      <c r="A77" s="3" t="s">
        <v>48</v>
      </c>
      <c r="B77" s="3" t="s">
        <v>52</v>
      </c>
      <c r="C77" s="5">
        <v>508790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9">
        <f t="shared" ref="K77:K81" si="21">SUM(C77:J77)</f>
        <v>508790</v>
      </c>
      <c r="L77" s="5"/>
    </row>
    <row r="78" spans="1:12" x14ac:dyDescent="0.25">
      <c r="A78" s="3" t="s">
        <v>70</v>
      </c>
      <c r="B78" s="3" t="s">
        <v>84</v>
      </c>
      <c r="C78" s="5">
        <v>1282997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9">
        <f t="shared" si="21"/>
        <v>1282997</v>
      </c>
      <c r="L78" s="5"/>
    </row>
    <row r="79" spans="1:12" x14ac:dyDescent="0.25">
      <c r="A79" s="3" t="s">
        <v>37</v>
      </c>
      <c r="B79" s="3" t="s">
        <v>85</v>
      </c>
      <c r="C79" s="5">
        <v>125085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9">
        <f t="shared" si="21"/>
        <v>125085</v>
      </c>
      <c r="L79" s="5"/>
    </row>
    <row r="80" spans="1:12" x14ac:dyDescent="0.25">
      <c r="A80" s="3" t="s">
        <v>86</v>
      </c>
      <c r="B80" s="3" t="s">
        <v>87</v>
      </c>
      <c r="C80" s="5">
        <v>136796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9">
        <f t="shared" si="21"/>
        <v>136796</v>
      </c>
      <c r="L80" s="5"/>
    </row>
    <row r="81" spans="1:12" x14ac:dyDescent="0.25">
      <c r="A81" s="3" t="s">
        <v>86</v>
      </c>
      <c r="B81" s="3" t="s">
        <v>88</v>
      </c>
      <c r="C81" s="5">
        <v>22159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9">
        <f t="shared" si="21"/>
        <v>22159</v>
      </c>
      <c r="L81" s="5"/>
    </row>
    <row r="82" spans="1:12" x14ac:dyDescent="0.25">
      <c r="A82" s="3" t="s">
        <v>37</v>
      </c>
      <c r="B82" s="3" t="s">
        <v>89</v>
      </c>
      <c r="C82" s="5">
        <v>28134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9">
        <f>SUM(C82:J82)</f>
        <v>28134</v>
      </c>
      <c r="L82" s="5"/>
    </row>
    <row r="83" spans="1:12" x14ac:dyDescent="0.25">
      <c r="A83" s="3"/>
      <c r="B83" s="6" t="s">
        <v>457</v>
      </c>
      <c r="C83" s="14">
        <f t="shared" ref="C83:J83" si="22">SUBTOTAL(9,C84:C89)</f>
        <v>0</v>
      </c>
      <c r="D83" s="14">
        <f t="shared" si="22"/>
        <v>2277480</v>
      </c>
      <c r="E83" s="14">
        <f t="shared" si="22"/>
        <v>1719349</v>
      </c>
      <c r="F83" s="14">
        <f t="shared" si="22"/>
        <v>0</v>
      </c>
      <c r="G83" s="14">
        <f t="shared" si="22"/>
        <v>0</v>
      </c>
      <c r="H83" s="14">
        <f t="shared" si="22"/>
        <v>499255</v>
      </c>
      <c r="I83" s="14">
        <f t="shared" si="22"/>
        <v>0</v>
      </c>
      <c r="J83" s="14">
        <f t="shared" si="22"/>
        <v>0</v>
      </c>
      <c r="K83" s="12">
        <f>SUBTOTAL(9,K84:K89)</f>
        <v>4496084</v>
      </c>
      <c r="L83" s="5"/>
    </row>
    <row r="84" spans="1:12" x14ac:dyDescent="0.25">
      <c r="A84" s="3" t="s">
        <v>32</v>
      </c>
      <c r="B84" s="3" t="s">
        <v>90</v>
      </c>
      <c r="C84" s="5">
        <v>0</v>
      </c>
      <c r="D84" s="5">
        <v>1399424</v>
      </c>
      <c r="E84" s="5">
        <v>855403</v>
      </c>
      <c r="F84" s="5">
        <v>0</v>
      </c>
      <c r="G84" s="5">
        <v>0</v>
      </c>
      <c r="H84" s="5">
        <v>376734</v>
      </c>
      <c r="I84" s="5">
        <v>0</v>
      </c>
      <c r="J84" s="5">
        <v>0</v>
      </c>
      <c r="K84" s="9">
        <f>SUM(C84:J84)</f>
        <v>2631561</v>
      </c>
      <c r="L84" s="5"/>
    </row>
    <row r="85" spans="1:12" x14ac:dyDescent="0.25">
      <c r="A85" s="3" t="s">
        <v>452</v>
      </c>
      <c r="B85" s="3" t="s">
        <v>91</v>
      </c>
      <c r="C85" s="5">
        <v>0</v>
      </c>
      <c r="D85" s="5">
        <v>11798</v>
      </c>
      <c r="E85" s="5">
        <v>11752</v>
      </c>
      <c r="F85" s="5">
        <v>0</v>
      </c>
      <c r="G85" s="5">
        <v>0</v>
      </c>
      <c r="H85" s="5">
        <v>6128</v>
      </c>
      <c r="I85" s="5">
        <v>0</v>
      </c>
      <c r="J85" s="5">
        <v>0</v>
      </c>
      <c r="K85" s="9">
        <f t="shared" ref="K85:K89" si="23">SUM(C85:J85)</f>
        <v>29678</v>
      </c>
      <c r="L85" s="5"/>
    </row>
    <row r="86" spans="1:12" x14ac:dyDescent="0.25">
      <c r="A86" s="3" t="s">
        <v>453</v>
      </c>
      <c r="B86" s="3" t="s">
        <v>91</v>
      </c>
      <c r="C86" s="5">
        <v>0</v>
      </c>
      <c r="D86" s="5">
        <v>102900</v>
      </c>
      <c r="E86" s="5">
        <v>177810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9">
        <f t="shared" si="23"/>
        <v>280710</v>
      </c>
      <c r="L86" s="5"/>
    </row>
    <row r="87" spans="1:12" x14ac:dyDescent="0.25">
      <c r="A87" s="3" t="s">
        <v>76</v>
      </c>
      <c r="B87" s="3" t="s">
        <v>92</v>
      </c>
      <c r="C87" s="5">
        <v>0</v>
      </c>
      <c r="D87" s="5">
        <v>208600</v>
      </c>
      <c r="E87" s="5">
        <v>148910</v>
      </c>
      <c r="F87" s="5">
        <v>0</v>
      </c>
      <c r="G87" s="5">
        <v>0</v>
      </c>
      <c r="H87" s="5">
        <v>18153</v>
      </c>
      <c r="I87" s="5">
        <v>0</v>
      </c>
      <c r="J87" s="5">
        <v>0</v>
      </c>
      <c r="K87" s="9">
        <f t="shared" si="23"/>
        <v>375663</v>
      </c>
      <c r="L87" s="5"/>
    </row>
    <row r="88" spans="1:12" x14ac:dyDescent="0.25">
      <c r="A88" s="3" t="s">
        <v>35</v>
      </c>
      <c r="B88" s="3" t="s">
        <v>91</v>
      </c>
      <c r="C88" s="5">
        <v>0</v>
      </c>
      <c r="D88" s="5">
        <v>59957</v>
      </c>
      <c r="E88" s="5">
        <v>82731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9">
        <f t="shared" si="23"/>
        <v>142688</v>
      </c>
      <c r="L88" s="5"/>
    </row>
    <row r="89" spans="1:12" x14ac:dyDescent="0.25">
      <c r="A89" s="3" t="s">
        <v>93</v>
      </c>
      <c r="B89" s="3" t="s">
        <v>94</v>
      </c>
      <c r="C89" s="5">
        <v>0</v>
      </c>
      <c r="D89" s="5">
        <v>494801</v>
      </c>
      <c r="E89" s="5">
        <v>442743</v>
      </c>
      <c r="F89" s="5">
        <v>0</v>
      </c>
      <c r="G89" s="5">
        <v>0</v>
      </c>
      <c r="H89" s="5">
        <v>98240</v>
      </c>
      <c r="I89" s="5">
        <v>0</v>
      </c>
      <c r="J89" s="5">
        <v>0</v>
      </c>
      <c r="K89" s="9">
        <f t="shared" si="23"/>
        <v>1035784</v>
      </c>
      <c r="L89" s="5"/>
    </row>
    <row r="90" spans="1:12" x14ac:dyDescent="0.25">
      <c r="A90" s="3"/>
      <c r="B90" s="6" t="s">
        <v>95</v>
      </c>
      <c r="C90" s="14">
        <f t="shared" ref="C90:J90" si="24">SUBTOTAL(9,C91:C95)</f>
        <v>0</v>
      </c>
      <c r="D90" s="14">
        <f t="shared" si="24"/>
        <v>868124</v>
      </c>
      <c r="E90" s="14">
        <f t="shared" si="24"/>
        <v>472976</v>
      </c>
      <c r="F90" s="14">
        <f t="shared" si="24"/>
        <v>0</v>
      </c>
      <c r="G90" s="14">
        <f t="shared" si="24"/>
        <v>0</v>
      </c>
      <c r="H90" s="14">
        <f t="shared" si="24"/>
        <v>165435</v>
      </c>
      <c r="I90" s="14">
        <f t="shared" si="24"/>
        <v>10522</v>
      </c>
      <c r="J90" s="14">
        <f t="shared" si="24"/>
        <v>449451</v>
      </c>
      <c r="K90" s="12">
        <f>SUBTOTAL(9,K91:K95)</f>
        <v>1966508</v>
      </c>
      <c r="L90" s="5"/>
    </row>
    <row r="91" spans="1:12" x14ac:dyDescent="0.25">
      <c r="A91" s="3" t="s">
        <v>32</v>
      </c>
      <c r="B91" s="3" t="s">
        <v>96</v>
      </c>
      <c r="C91" s="5">
        <v>0</v>
      </c>
      <c r="D91" s="5">
        <v>99921</v>
      </c>
      <c r="E91" s="5">
        <v>88173</v>
      </c>
      <c r="F91" s="5">
        <v>0</v>
      </c>
      <c r="G91" s="5">
        <v>0</v>
      </c>
      <c r="H91" s="5">
        <v>47235</v>
      </c>
      <c r="I91" s="5">
        <v>0</v>
      </c>
      <c r="J91" s="5">
        <v>0</v>
      </c>
      <c r="K91" s="9">
        <f t="shared" ref="K91:K95" si="25">SUM(C91:J91)</f>
        <v>235329</v>
      </c>
      <c r="L91" s="5"/>
    </row>
    <row r="92" spans="1:12" x14ac:dyDescent="0.25">
      <c r="A92" s="3" t="s">
        <v>35</v>
      </c>
      <c r="B92" s="3" t="s">
        <v>97</v>
      </c>
      <c r="C92" s="5">
        <v>0</v>
      </c>
      <c r="D92" s="5">
        <v>5808</v>
      </c>
      <c r="E92" s="5">
        <v>4881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9">
        <f t="shared" si="25"/>
        <v>10689</v>
      </c>
      <c r="L92" s="5"/>
    </row>
    <row r="93" spans="1:12" x14ac:dyDescent="0.25">
      <c r="A93" s="3" t="s">
        <v>35</v>
      </c>
      <c r="B93" s="3" t="s">
        <v>91</v>
      </c>
      <c r="C93" s="5">
        <v>0</v>
      </c>
      <c r="D93" s="5">
        <v>9097</v>
      </c>
      <c r="E93" s="5">
        <v>241097</v>
      </c>
      <c r="F93" s="5">
        <v>0</v>
      </c>
      <c r="G93" s="5">
        <v>0</v>
      </c>
      <c r="H93" s="5">
        <v>102024</v>
      </c>
      <c r="I93" s="5">
        <v>0</v>
      </c>
      <c r="J93" s="5">
        <v>0</v>
      </c>
      <c r="K93" s="9">
        <f t="shared" si="25"/>
        <v>352218</v>
      </c>
      <c r="L93" s="5"/>
    </row>
    <row r="94" spans="1:12" x14ac:dyDescent="0.25">
      <c r="A94" s="3" t="s">
        <v>86</v>
      </c>
      <c r="B94" s="3" t="s">
        <v>98</v>
      </c>
      <c r="C94" s="5">
        <v>0</v>
      </c>
      <c r="D94" s="5">
        <v>753298</v>
      </c>
      <c r="E94" s="5">
        <v>138825</v>
      </c>
      <c r="F94" s="5">
        <v>0</v>
      </c>
      <c r="G94" s="5">
        <v>0</v>
      </c>
      <c r="H94" s="5">
        <v>16176</v>
      </c>
      <c r="I94" s="5">
        <v>10522</v>
      </c>
      <c r="J94" s="5">
        <v>74515</v>
      </c>
      <c r="K94" s="9">
        <f t="shared" si="25"/>
        <v>993336</v>
      </c>
      <c r="L94" s="5"/>
    </row>
    <row r="95" spans="1:12" x14ac:dyDescent="0.25">
      <c r="A95" s="3" t="s">
        <v>37</v>
      </c>
      <c r="B95" s="3" t="s">
        <v>99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374936</v>
      </c>
      <c r="K95" s="9">
        <f t="shared" si="25"/>
        <v>374936</v>
      </c>
      <c r="L95" s="5"/>
    </row>
    <row r="96" spans="1:12" x14ac:dyDescent="0.25">
      <c r="A96" s="3"/>
      <c r="B96" s="6" t="s">
        <v>100</v>
      </c>
      <c r="C96" s="14">
        <f t="shared" ref="C96:J96" si="26">SUBTOTAL(9,C97:C98)</f>
        <v>231777</v>
      </c>
      <c r="D96" s="14">
        <f t="shared" si="26"/>
        <v>30299</v>
      </c>
      <c r="E96" s="14">
        <f t="shared" si="26"/>
        <v>0</v>
      </c>
      <c r="F96" s="14">
        <f t="shared" si="26"/>
        <v>0</v>
      </c>
      <c r="G96" s="14">
        <f t="shared" si="26"/>
        <v>0</v>
      </c>
      <c r="H96" s="14">
        <f t="shared" si="26"/>
        <v>62559</v>
      </c>
      <c r="I96" s="14">
        <f t="shared" si="26"/>
        <v>0</v>
      </c>
      <c r="J96" s="14">
        <f t="shared" si="26"/>
        <v>0</v>
      </c>
      <c r="K96" s="12">
        <f>SUBTOTAL(9,K97:K98)</f>
        <v>324635</v>
      </c>
      <c r="L96" s="5"/>
    </row>
    <row r="97" spans="1:12" x14ac:dyDescent="0.25">
      <c r="A97" s="3" t="s">
        <v>37</v>
      </c>
      <c r="B97" s="3" t="s">
        <v>53</v>
      </c>
      <c r="C97" s="5">
        <v>231777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9">
        <f t="shared" ref="K97:K98" si="27">SUM(C97:J97)</f>
        <v>231777</v>
      </c>
      <c r="L97" s="5"/>
    </row>
    <row r="98" spans="1:12" x14ac:dyDescent="0.25">
      <c r="A98" s="3" t="s">
        <v>32</v>
      </c>
      <c r="B98" s="3" t="s">
        <v>100</v>
      </c>
      <c r="C98" s="5">
        <v>0</v>
      </c>
      <c r="D98" s="5">
        <v>30299</v>
      </c>
      <c r="E98" s="5">
        <v>0</v>
      </c>
      <c r="F98" s="5">
        <v>0</v>
      </c>
      <c r="G98" s="5">
        <v>0</v>
      </c>
      <c r="H98" s="5">
        <v>62559</v>
      </c>
      <c r="I98" s="5">
        <v>0</v>
      </c>
      <c r="J98" s="5">
        <v>0</v>
      </c>
      <c r="K98" s="9">
        <f t="shared" si="27"/>
        <v>92858</v>
      </c>
      <c r="L98" s="5"/>
    </row>
    <row r="99" spans="1:12" x14ac:dyDescent="0.25">
      <c r="A99" s="3"/>
      <c r="B99" s="6" t="s">
        <v>101</v>
      </c>
      <c r="C99" s="14">
        <f t="shared" ref="C99:J99" si="28">SUBTOTAL(9,C100:C105)</f>
        <v>0</v>
      </c>
      <c r="D99" s="14">
        <f t="shared" si="28"/>
        <v>2418</v>
      </c>
      <c r="E99" s="14">
        <f t="shared" si="28"/>
        <v>1341</v>
      </c>
      <c r="F99" s="14">
        <f t="shared" si="28"/>
        <v>12523</v>
      </c>
      <c r="G99" s="14">
        <f t="shared" si="28"/>
        <v>0</v>
      </c>
      <c r="H99" s="14">
        <f t="shared" si="28"/>
        <v>885</v>
      </c>
      <c r="I99" s="14">
        <f t="shared" si="28"/>
        <v>108691</v>
      </c>
      <c r="J99" s="14">
        <f t="shared" si="28"/>
        <v>0</v>
      </c>
      <c r="K99" s="12">
        <f>SUBTOTAL(9,K100:K105)</f>
        <v>125858</v>
      </c>
      <c r="L99" s="5"/>
    </row>
    <row r="100" spans="1:12" x14ac:dyDescent="0.25">
      <c r="A100" s="3" t="s">
        <v>102</v>
      </c>
      <c r="B100" s="3" t="s">
        <v>103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50104</v>
      </c>
      <c r="J100" s="5">
        <v>0</v>
      </c>
      <c r="K100" s="9">
        <f t="shared" ref="K100:K105" si="29">SUM(C100:J100)</f>
        <v>50104</v>
      </c>
      <c r="L100" s="5"/>
    </row>
    <row r="101" spans="1:12" x14ac:dyDescent="0.25">
      <c r="A101" s="3" t="s">
        <v>104</v>
      </c>
      <c r="B101" s="3" t="s">
        <v>105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10283</v>
      </c>
      <c r="J101" s="5">
        <v>0</v>
      </c>
      <c r="K101" s="9">
        <f t="shared" si="29"/>
        <v>10283</v>
      </c>
      <c r="L101" s="5"/>
    </row>
    <row r="102" spans="1:12" x14ac:dyDescent="0.25">
      <c r="A102" s="3" t="s">
        <v>106</v>
      </c>
      <c r="B102" s="3" t="s">
        <v>432</v>
      </c>
      <c r="C102" s="5">
        <v>0</v>
      </c>
      <c r="D102" s="5">
        <v>801</v>
      </c>
      <c r="E102" s="5">
        <v>383</v>
      </c>
      <c r="F102" s="5">
        <v>7458</v>
      </c>
      <c r="G102" s="5">
        <v>0</v>
      </c>
      <c r="H102" s="5">
        <v>384</v>
      </c>
      <c r="I102" s="5">
        <v>3166</v>
      </c>
      <c r="J102" s="5">
        <v>0</v>
      </c>
      <c r="K102" s="9">
        <f t="shared" si="29"/>
        <v>12192</v>
      </c>
      <c r="L102" s="5"/>
    </row>
    <row r="103" spans="1:12" x14ac:dyDescent="0.25">
      <c r="A103" s="3" t="s">
        <v>107</v>
      </c>
      <c r="B103" s="3" t="s">
        <v>433</v>
      </c>
      <c r="C103" s="5">
        <v>0</v>
      </c>
      <c r="D103" s="5">
        <v>1617</v>
      </c>
      <c r="E103" s="5">
        <v>958</v>
      </c>
      <c r="F103" s="5">
        <v>5065</v>
      </c>
      <c r="G103" s="5">
        <v>0</v>
      </c>
      <c r="H103" s="5">
        <v>501</v>
      </c>
      <c r="I103" s="5">
        <v>6940</v>
      </c>
      <c r="J103" s="5">
        <v>0</v>
      </c>
      <c r="K103" s="9">
        <f t="shared" si="29"/>
        <v>15081</v>
      </c>
      <c r="L103" s="5"/>
    </row>
    <row r="104" spans="1:12" x14ac:dyDescent="0.25">
      <c r="A104" s="3" t="s">
        <v>108</v>
      </c>
      <c r="B104" s="3" t="s">
        <v>434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19564</v>
      </c>
      <c r="J104" s="5">
        <v>0</v>
      </c>
      <c r="K104" s="9">
        <f t="shared" si="29"/>
        <v>19564</v>
      </c>
      <c r="L104" s="5"/>
    </row>
    <row r="105" spans="1:12" x14ac:dyDescent="0.25">
      <c r="A105" s="3" t="s">
        <v>109</v>
      </c>
      <c r="B105" s="3" t="s">
        <v>435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18634</v>
      </c>
      <c r="J105" s="5">
        <v>0</v>
      </c>
      <c r="K105" s="9">
        <f t="shared" si="29"/>
        <v>18634</v>
      </c>
      <c r="L105" s="5"/>
    </row>
    <row r="106" spans="1:12" x14ac:dyDescent="0.25">
      <c r="A106" s="3"/>
      <c r="B106" s="6" t="s">
        <v>110</v>
      </c>
      <c r="C106" s="14">
        <f t="shared" ref="C106:J106" si="30">SUBTOTAL(9,C107:C116)</f>
        <v>0</v>
      </c>
      <c r="D106" s="14">
        <f t="shared" si="30"/>
        <v>191007</v>
      </c>
      <c r="E106" s="14">
        <f t="shared" si="30"/>
        <v>143782</v>
      </c>
      <c r="F106" s="14">
        <f t="shared" si="30"/>
        <v>0</v>
      </c>
      <c r="G106" s="14">
        <f t="shared" si="30"/>
        <v>0</v>
      </c>
      <c r="H106" s="14">
        <f t="shared" si="30"/>
        <v>0</v>
      </c>
      <c r="I106" s="14">
        <f t="shared" si="30"/>
        <v>799445</v>
      </c>
      <c r="J106" s="14">
        <f t="shared" si="30"/>
        <v>0</v>
      </c>
      <c r="K106" s="12">
        <f>SUBTOTAL(9,K107:K116)</f>
        <v>1134234</v>
      </c>
      <c r="L106" s="5"/>
    </row>
    <row r="107" spans="1:12" x14ac:dyDescent="0.25">
      <c r="A107" s="3" t="s">
        <v>111</v>
      </c>
      <c r="B107" s="3" t="s">
        <v>112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11679</v>
      </c>
      <c r="J107" s="5">
        <v>0</v>
      </c>
      <c r="K107" s="9">
        <f t="shared" ref="K107:K116" si="31">SUM(C107:J107)</f>
        <v>11679</v>
      </c>
      <c r="L107" s="5"/>
    </row>
    <row r="108" spans="1:12" x14ac:dyDescent="0.25">
      <c r="A108" s="3" t="s">
        <v>113</v>
      </c>
      <c r="B108" s="3" t="s">
        <v>427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109476</v>
      </c>
      <c r="J108" s="5">
        <v>0</v>
      </c>
      <c r="K108" s="9">
        <f t="shared" si="31"/>
        <v>109476</v>
      </c>
      <c r="L108" s="5"/>
    </row>
    <row r="109" spans="1:12" x14ac:dyDescent="0.25">
      <c r="A109" s="3" t="s">
        <v>114</v>
      </c>
      <c r="B109" s="3" t="s">
        <v>428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254377</v>
      </c>
      <c r="J109" s="5">
        <v>0</v>
      </c>
      <c r="K109" s="9">
        <f t="shared" si="31"/>
        <v>254377</v>
      </c>
      <c r="L109" s="5"/>
    </row>
    <row r="110" spans="1:12" x14ac:dyDescent="0.25">
      <c r="A110" s="3" t="s">
        <v>115</v>
      </c>
      <c r="B110" s="3" t="s">
        <v>112</v>
      </c>
      <c r="C110" s="5">
        <v>0</v>
      </c>
      <c r="D110" s="5">
        <v>169216</v>
      </c>
      <c r="E110" s="5">
        <v>121523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9">
        <f t="shared" si="31"/>
        <v>290739</v>
      </c>
      <c r="L110" s="5"/>
    </row>
    <row r="111" spans="1:12" x14ac:dyDescent="0.25">
      <c r="A111" s="3" t="s">
        <v>116</v>
      </c>
      <c r="B111" s="3" t="s">
        <v>117</v>
      </c>
      <c r="C111" s="5">
        <v>0</v>
      </c>
      <c r="D111" s="5">
        <v>19972</v>
      </c>
      <c r="E111" s="5">
        <v>20369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9">
        <f t="shared" si="31"/>
        <v>40341</v>
      </c>
      <c r="L111" s="5"/>
    </row>
    <row r="112" spans="1:12" x14ac:dyDescent="0.25">
      <c r="A112" s="3" t="s">
        <v>118</v>
      </c>
      <c r="B112" s="3" t="s">
        <v>112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27370</v>
      </c>
      <c r="J112" s="5">
        <v>0</v>
      </c>
      <c r="K112" s="9">
        <f t="shared" si="31"/>
        <v>27370</v>
      </c>
      <c r="L112" s="5"/>
    </row>
    <row r="113" spans="1:12" x14ac:dyDescent="0.25">
      <c r="A113" s="3" t="s">
        <v>119</v>
      </c>
      <c r="B113" s="3" t="s">
        <v>429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220033</v>
      </c>
      <c r="J113" s="5">
        <v>0</v>
      </c>
      <c r="K113" s="9">
        <f t="shared" si="31"/>
        <v>220033</v>
      </c>
      <c r="L113" s="5"/>
    </row>
    <row r="114" spans="1:12" x14ac:dyDescent="0.25">
      <c r="A114" s="3" t="s">
        <v>120</v>
      </c>
      <c r="B114" s="3" t="s">
        <v>430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68240</v>
      </c>
      <c r="J114" s="5">
        <v>0</v>
      </c>
      <c r="K114" s="9">
        <f t="shared" si="31"/>
        <v>68240</v>
      </c>
      <c r="L114" s="5"/>
    </row>
    <row r="115" spans="1:12" x14ac:dyDescent="0.25">
      <c r="A115" s="3" t="s">
        <v>121</v>
      </c>
      <c r="B115" s="3" t="s">
        <v>431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108270</v>
      </c>
      <c r="J115" s="5">
        <v>0</v>
      </c>
      <c r="K115" s="9">
        <f t="shared" si="31"/>
        <v>108270</v>
      </c>
      <c r="L115" s="5"/>
    </row>
    <row r="116" spans="1:12" x14ac:dyDescent="0.25">
      <c r="A116" s="3" t="s">
        <v>122</v>
      </c>
      <c r="B116" s="3" t="s">
        <v>123</v>
      </c>
      <c r="C116" s="5">
        <v>0</v>
      </c>
      <c r="D116" s="5">
        <v>1819</v>
      </c>
      <c r="E116" s="5">
        <v>1890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9">
        <f t="shared" si="31"/>
        <v>3709</v>
      </c>
      <c r="L116" s="5"/>
    </row>
    <row r="117" spans="1:12" x14ac:dyDescent="0.25">
      <c r="A117" s="3"/>
      <c r="B117" s="6" t="s">
        <v>124</v>
      </c>
      <c r="C117" s="14">
        <f t="shared" ref="C117:J117" si="32">SUBTOTAL(9,C118:C122)</f>
        <v>0</v>
      </c>
      <c r="D117" s="14">
        <f t="shared" si="32"/>
        <v>0</v>
      </c>
      <c r="E117" s="14">
        <f t="shared" si="32"/>
        <v>0</v>
      </c>
      <c r="F117" s="14">
        <f t="shared" si="32"/>
        <v>0</v>
      </c>
      <c r="G117" s="14">
        <f t="shared" si="32"/>
        <v>0</v>
      </c>
      <c r="H117" s="14">
        <f t="shared" si="32"/>
        <v>0</v>
      </c>
      <c r="I117" s="14">
        <f t="shared" si="32"/>
        <v>919039</v>
      </c>
      <c r="J117" s="14">
        <f t="shared" si="32"/>
        <v>0</v>
      </c>
      <c r="K117" s="12">
        <f>SUBTOTAL(9,K118:K122)</f>
        <v>919039</v>
      </c>
      <c r="L117" s="5"/>
    </row>
    <row r="118" spans="1:12" x14ac:dyDescent="0.25">
      <c r="A118" s="3" t="s">
        <v>125</v>
      </c>
      <c r="B118" s="3" t="s">
        <v>126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68336</v>
      </c>
      <c r="J118" s="5">
        <v>0</v>
      </c>
      <c r="K118" s="9">
        <f t="shared" ref="K118:K122" si="33">SUM(C118:J118)</f>
        <v>68336</v>
      </c>
      <c r="L118" s="5"/>
    </row>
    <row r="119" spans="1:12" x14ac:dyDescent="0.25">
      <c r="A119" s="3" t="s">
        <v>127</v>
      </c>
      <c r="B119" s="3" t="s">
        <v>128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190211</v>
      </c>
      <c r="J119" s="5">
        <v>0</v>
      </c>
      <c r="K119" s="9">
        <f t="shared" si="33"/>
        <v>190211</v>
      </c>
      <c r="L119" s="5"/>
    </row>
    <row r="120" spans="1:12" x14ac:dyDescent="0.25">
      <c r="A120" s="3" t="s">
        <v>129</v>
      </c>
      <c r="B120" s="3" t="s">
        <v>130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48616</v>
      </c>
      <c r="J120" s="5">
        <v>0</v>
      </c>
      <c r="K120" s="9">
        <f t="shared" si="33"/>
        <v>48616</v>
      </c>
      <c r="L120" s="5"/>
    </row>
    <row r="121" spans="1:12" x14ac:dyDescent="0.25">
      <c r="A121" s="3" t="s">
        <v>131</v>
      </c>
      <c r="B121" s="3" t="s">
        <v>132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516367</v>
      </c>
      <c r="J121" s="5">
        <v>0</v>
      </c>
      <c r="K121" s="9">
        <f t="shared" si="33"/>
        <v>516367</v>
      </c>
      <c r="L121" s="5"/>
    </row>
    <row r="122" spans="1:12" x14ac:dyDescent="0.25">
      <c r="A122" s="3" t="s">
        <v>133</v>
      </c>
      <c r="B122" s="3" t="s">
        <v>134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95509</v>
      </c>
      <c r="J122" s="5">
        <v>0</v>
      </c>
      <c r="K122" s="9">
        <f t="shared" si="33"/>
        <v>95509</v>
      </c>
      <c r="L122" s="5"/>
    </row>
    <row r="123" spans="1:12" x14ac:dyDescent="0.25">
      <c r="A123" s="3"/>
      <c r="B123" s="6" t="s">
        <v>135</v>
      </c>
      <c r="C123" s="14">
        <f t="shared" ref="C123:J123" si="34">SUBTOTAL(9,C124:C130)</f>
        <v>0</v>
      </c>
      <c r="D123" s="14">
        <f t="shared" si="34"/>
        <v>128223</v>
      </c>
      <c r="E123" s="14">
        <f t="shared" si="34"/>
        <v>1079</v>
      </c>
      <c r="F123" s="14">
        <f t="shared" si="34"/>
        <v>52090</v>
      </c>
      <c r="G123" s="14">
        <f t="shared" si="34"/>
        <v>0</v>
      </c>
      <c r="H123" s="14">
        <f t="shared" si="34"/>
        <v>277397</v>
      </c>
      <c r="I123" s="14">
        <f t="shared" si="34"/>
        <v>269276</v>
      </c>
      <c r="J123" s="14">
        <f t="shared" si="34"/>
        <v>0</v>
      </c>
      <c r="K123" s="12">
        <f>SUBTOTAL(9,K124:K130)</f>
        <v>728065</v>
      </c>
      <c r="L123" s="5"/>
    </row>
    <row r="124" spans="1:12" x14ac:dyDescent="0.25">
      <c r="A124" s="3" t="s">
        <v>136</v>
      </c>
      <c r="B124" s="3" t="s">
        <v>137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99398</v>
      </c>
      <c r="I124" s="5">
        <v>0</v>
      </c>
      <c r="J124" s="5">
        <v>0</v>
      </c>
      <c r="K124" s="9">
        <f t="shared" ref="K124:K130" si="35">SUM(C124:J124)</f>
        <v>99398</v>
      </c>
      <c r="L124" s="5"/>
    </row>
    <row r="125" spans="1:12" x14ac:dyDescent="0.25">
      <c r="A125" s="3" t="s">
        <v>138</v>
      </c>
      <c r="B125" s="3" t="s">
        <v>139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74673</v>
      </c>
      <c r="J125" s="5">
        <v>0</v>
      </c>
      <c r="K125" s="9">
        <f t="shared" si="35"/>
        <v>74673</v>
      </c>
      <c r="L125" s="5"/>
    </row>
    <row r="126" spans="1:12" x14ac:dyDescent="0.25">
      <c r="A126" s="3" t="s">
        <v>140</v>
      </c>
      <c r="B126" s="3" t="s">
        <v>141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97438</v>
      </c>
      <c r="I126" s="5">
        <v>0</v>
      </c>
      <c r="J126" s="5">
        <v>0</v>
      </c>
      <c r="K126" s="9">
        <f t="shared" si="35"/>
        <v>97438</v>
      </c>
      <c r="L126" s="5"/>
    </row>
    <row r="127" spans="1:12" x14ac:dyDescent="0.25">
      <c r="A127" s="3" t="s">
        <v>142</v>
      </c>
      <c r="B127" s="3" t="s">
        <v>143</v>
      </c>
      <c r="C127" s="5">
        <v>0</v>
      </c>
      <c r="D127" s="5">
        <v>36973</v>
      </c>
      <c r="E127" s="5">
        <v>209</v>
      </c>
      <c r="F127" s="5">
        <v>11273</v>
      </c>
      <c r="G127" s="5">
        <v>0</v>
      </c>
      <c r="H127" s="5">
        <v>3608</v>
      </c>
      <c r="I127" s="5">
        <v>0</v>
      </c>
      <c r="J127" s="5">
        <v>0</v>
      </c>
      <c r="K127" s="9">
        <f t="shared" si="35"/>
        <v>52063</v>
      </c>
      <c r="L127" s="5"/>
    </row>
    <row r="128" spans="1:12" x14ac:dyDescent="0.25">
      <c r="A128" s="3" t="s">
        <v>144</v>
      </c>
      <c r="B128" s="3" t="s">
        <v>145</v>
      </c>
      <c r="C128" s="5">
        <v>0</v>
      </c>
      <c r="D128" s="5">
        <v>91250</v>
      </c>
      <c r="E128" s="5">
        <v>870</v>
      </c>
      <c r="F128" s="5">
        <v>40817</v>
      </c>
      <c r="G128" s="5">
        <v>0</v>
      </c>
      <c r="H128" s="5">
        <v>6503</v>
      </c>
      <c r="I128" s="5">
        <v>0</v>
      </c>
      <c r="J128" s="5">
        <v>0</v>
      </c>
      <c r="K128" s="9">
        <f t="shared" si="35"/>
        <v>139440</v>
      </c>
      <c r="L128" s="5"/>
    </row>
    <row r="129" spans="1:12" x14ac:dyDescent="0.25">
      <c r="A129" s="3" t="s">
        <v>146</v>
      </c>
      <c r="B129" s="3" t="s">
        <v>147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70450</v>
      </c>
      <c r="I129" s="5">
        <v>0</v>
      </c>
      <c r="J129" s="5">
        <v>0</v>
      </c>
      <c r="K129" s="9">
        <f t="shared" si="35"/>
        <v>70450</v>
      </c>
      <c r="L129" s="5"/>
    </row>
    <row r="130" spans="1:12" x14ac:dyDescent="0.25">
      <c r="A130" s="3" t="s">
        <v>148</v>
      </c>
      <c r="B130" s="3" t="s">
        <v>149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194603</v>
      </c>
      <c r="J130" s="5">
        <v>0</v>
      </c>
      <c r="K130" s="9">
        <f t="shared" si="35"/>
        <v>194603</v>
      </c>
      <c r="L130" s="5"/>
    </row>
    <row r="131" spans="1:12" x14ac:dyDescent="0.25">
      <c r="A131" s="3"/>
      <c r="B131" s="6" t="s">
        <v>150</v>
      </c>
      <c r="C131" s="14">
        <f t="shared" ref="C131:J131" si="36">SUBTOTAL(9,C132:C140)</f>
        <v>0</v>
      </c>
      <c r="D131" s="14">
        <f t="shared" si="36"/>
        <v>17537</v>
      </c>
      <c r="E131" s="14">
        <f t="shared" si="36"/>
        <v>14298</v>
      </c>
      <c r="F131" s="14">
        <f t="shared" si="36"/>
        <v>0</v>
      </c>
      <c r="G131" s="14">
        <f t="shared" si="36"/>
        <v>0</v>
      </c>
      <c r="H131" s="14">
        <f t="shared" si="36"/>
        <v>38897</v>
      </c>
      <c r="I131" s="14">
        <f t="shared" si="36"/>
        <v>341038</v>
      </c>
      <c r="J131" s="14">
        <f t="shared" si="36"/>
        <v>0</v>
      </c>
      <c r="K131" s="12">
        <f>SUBTOTAL(9,K132:K140)</f>
        <v>411770</v>
      </c>
      <c r="L131" s="5"/>
    </row>
    <row r="132" spans="1:12" x14ac:dyDescent="0.25">
      <c r="A132" s="3" t="s">
        <v>151</v>
      </c>
      <c r="B132" s="3" t="s">
        <v>152</v>
      </c>
      <c r="C132" s="5">
        <v>0</v>
      </c>
      <c r="D132" s="5">
        <v>6407</v>
      </c>
      <c r="E132" s="5">
        <v>7584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9">
        <f t="shared" ref="K132:K140" si="37">SUM(C132:J132)</f>
        <v>13991</v>
      </c>
      <c r="L132" s="5"/>
    </row>
    <row r="133" spans="1:12" x14ac:dyDescent="0.25">
      <c r="A133" s="3" t="s">
        <v>153</v>
      </c>
      <c r="B133" s="3" t="s">
        <v>154</v>
      </c>
      <c r="C133" s="5">
        <v>0</v>
      </c>
      <c r="D133" s="5">
        <v>903</v>
      </c>
      <c r="E133" s="5">
        <v>535</v>
      </c>
      <c r="F133" s="5">
        <v>0</v>
      </c>
      <c r="G133" s="5">
        <v>0</v>
      </c>
      <c r="H133" s="5">
        <v>11221</v>
      </c>
      <c r="I133" s="5">
        <v>269</v>
      </c>
      <c r="J133" s="5">
        <v>0</v>
      </c>
      <c r="K133" s="9">
        <f t="shared" si="37"/>
        <v>12928</v>
      </c>
      <c r="L133" s="5"/>
    </row>
    <row r="134" spans="1:12" x14ac:dyDescent="0.25">
      <c r="A134" s="3" t="s">
        <v>155</v>
      </c>
      <c r="B134" s="3" t="s">
        <v>156</v>
      </c>
      <c r="C134" s="5">
        <v>0</v>
      </c>
      <c r="D134" s="5">
        <v>5620</v>
      </c>
      <c r="E134" s="5">
        <v>3390</v>
      </c>
      <c r="F134" s="5">
        <v>0</v>
      </c>
      <c r="G134" s="5">
        <v>0</v>
      </c>
      <c r="H134" s="5">
        <v>15431</v>
      </c>
      <c r="I134" s="5">
        <v>627</v>
      </c>
      <c r="J134" s="5">
        <v>0</v>
      </c>
      <c r="K134" s="9">
        <f t="shared" si="37"/>
        <v>25068</v>
      </c>
      <c r="L134" s="5"/>
    </row>
    <row r="135" spans="1:12" x14ac:dyDescent="0.25">
      <c r="A135" s="3" t="s">
        <v>157</v>
      </c>
      <c r="B135" s="3" t="s">
        <v>158</v>
      </c>
      <c r="C135" s="5">
        <v>0</v>
      </c>
      <c r="D135" s="5">
        <v>4607</v>
      </c>
      <c r="E135" s="5">
        <v>2789</v>
      </c>
      <c r="F135" s="5">
        <v>0</v>
      </c>
      <c r="G135" s="5">
        <v>0</v>
      </c>
      <c r="H135" s="5">
        <v>12245</v>
      </c>
      <c r="I135" s="5">
        <v>482</v>
      </c>
      <c r="J135" s="5">
        <v>0</v>
      </c>
      <c r="K135" s="9">
        <f t="shared" si="37"/>
        <v>20123</v>
      </c>
      <c r="L135" s="5"/>
    </row>
    <row r="136" spans="1:12" x14ac:dyDescent="0.25">
      <c r="A136" s="3" t="s">
        <v>159</v>
      </c>
      <c r="B136" s="3" t="s">
        <v>160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6520</v>
      </c>
      <c r="J136" s="5">
        <v>0</v>
      </c>
      <c r="K136" s="9">
        <f t="shared" si="37"/>
        <v>6520</v>
      </c>
      <c r="L136" s="5"/>
    </row>
    <row r="137" spans="1:12" x14ac:dyDescent="0.25">
      <c r="A137" s="3" t="s">
        <v>161</v>
      </c>
      <c r="B137" s="3" t="s">
        <v>162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3407</v>
      </c>
      <c r="J137" s="5">
        <v>0</v>
      </c>
      <c r="K137" s="9">
        <f t="shared" si="37"/>
        <v>3407</v>
      </c>
      <c r="L137" s="5"/>
    </row>
    <row r="138" spans="1:12" x14ac:dyDescent="0.25">
      <c r="A138" s="3" t="s">
        <v>163</v>
      </c>
      <c r="B138" s="3" t="s">
        <v>164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108912</v>
      </c>
      <c r="J138" s="5">
        <v>0</v>
      </c>
      <c r="K138" s="9">
        <f t="shared" si="37"/>
        <v>108912</v>
      </c>
      <c r="L138" s="5"/>
    </row>
    <row r="139" spans="1:12" x14ac:dyDescent="0.25">
      <c r="A139" s="3" t="s">
        <v>165</v>
      </c>
      <c r="B139" s="3" t="s">
        <v>166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42570</v>
      </c>
      <c r="J139" s="5">
        <v>0</v>
      </c>
      <c r="K139" s="9">
        <f t="shared" si="37"/>
        <v>42570</v>
      </c>
      <c r="L139" s="5"/>
    </row>
    <row r="140" spans="1:12" x14ac:dyDescent="0.25">
      <c r="A140" s="3" t="s">
        <v>167</v>
      </c>
      <c r="B140" s="3" t="s">
        <v>164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178251</v>
      </c>
      <c r="J140" s="5">
        <v>0</v>
      </c>
      <c r="K140" s="9">
        <f t="shared" si="37"/>
        <v>178251</v>
      </c>
      <c r="L140" s="5"/>
    </row>
    <row r="141" spans="1:12" x14ac:dyDescent="0.25">
      <c r="A141" s="3"/>
      <c r="B141" s="6" t="s">
        <v>168</v>
      </c>
      <c r="C141" s="14">
        <f t="shared" ref="C141:J141" si="38">SUBTOTAL(9,C142:C146)</f>
        <v>0</v>
      </c>
      <c r="D141" s="14">
        <f t="shared" si="38"/>
        <v>0</v>
      </c>
      <c r="E141" s="14">
        <f t="shared" si="38"/>
        <v>0</v>
      </c>
      <c r="F141" s="14">
        <f t="shared" si="38"/>
        <v>0</v>
      </c>
      <c r="G141" s="14">
        <f t="shared" si="38"/>
        <v>0</v>
      </c>
      <c r="H141" s="14">
        <f t="shared" si="38"/>
        <v>0</v>
      </c>
      <c r="I141" s="14">
        <f t="shared" si="38"/>
        <v>84201</v>
      </c>
      <c r="J141" s="14">
        <f t="shared" si="38"/>
        <v>0</v>
      </c>
      <c r="K141" s="12">
        <f>SUBTOTAL(9,K142:K146)</f>
        <v>84201</v>
      </c>
      <c r="L141" s="5"/>
    </row>
    <row r="142" spans="1:12" x14ac:dyDescent="0.25">
      <c r="A142" s="3" t="s">
        <v>169</v>
      </c>
      <c r="B142" s="3" t="s">
        <v>426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8700</v>
      </c>
      <c r="J142" s="5">
        <v>0</v>
      </c>
      <c r="K142" s="9">
        <f t="shared" ref="K142:K146" si="39">SUM(C142:J142)</f>
        <v>8700</v>
      </c>
      <c r="L142" s="5"/>
    </row>
    <row r="143" spans="1:12" x14ac:dyDescent="0.25">
      <c r="A143" s="3" t="s">
        <v>170</v>
      </c>
      <c r="B143" s="3" t="s">
        <v>424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3679</v>
      </c>
      <c r="J143" s="5">
        <v>0</v>
      </c>
      <c r="K143" s="9">
        <f t="shared" si="39"/>
        <v>3679</v>
      </c>
      <c r="L143" s="5"/>
    </row>
    <row r="144" spans="1:12" x14ac:dyDescent="0.25">
      <c r="A144" s="3" t="s">
        <v>171</v>
      </c>
      <c r="B144" s="3" t="s">
        <v>425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4140</v>
      </c>
      <c r="J144" s="5">
        <v>0</v>
      </c>
      <c r="K144" s="9">
        <f t="shared" si="39"/>
        <v>4140</v>
      </c>
      <c r="L144" s="5"/>
    </row>
    <row r="145" spans="1:12" x14ac:dyDescent="0.25">
      <c r="A145" s="3" t="s">
        <v>172</v>
      </c>
      <c r="B145" s="3" t="s">
        <v>422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16585</v>
      </c>
      <c r="J145" s="5">
        <v>0</v>
      </c>
      <c r="K145" s="9">
        <f t="shared" si="39"/>
        <v>16585</v>
      </c>
      <c r="L145" s="5"/>
    </row>
    <row r="146" spans="1:12" x14ac:dyDescent="0.25">
      <c r="A146" s="3" t="s">
        <v>173</v>
      </c>
      <c r="B146" s="3" t="s">
        <v>423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51097</v>
      </c>
      <c r="J146" s="5">
        <v>0</v>
      </c>
      <c r="K146" s="9">
        <f t="shared" si="39"/>
        <v>51097</v>
      </c>
      <c r="L146" s="5"/>
    </row>
    <row r="147" spans="1:12" x14ac:dyDescent="0.25">
      <c r="A147" s="3"/>
      <c r="B147" s="6" t="s">
        <v>174</v>
      </c>
      <c r="C147" s="14">
        <f t="shared" ref="C147:J147" si="40">SUBTOTAL(9,C148:C155)</f>
        <v>0</v>
      </c>
      <c r="D147" s="14">
        <f t="shared" si="40"/>
        <v>4459</v>
      </c>
      <c r="E147" s="14">
        <f t="shared" si="40"/>
        <v>2476</v>
      </c>
      <c r="F147" s="14">
        <f t="shared" si="40"/>
        <v>0</v>
      </c>
      <c r="G147" s="14">
        <f t="shared" si="40"/>
        <v>0</v>
      </c>
      <c r="H147" s="14">
        <f t="shared" si="40"/>
        <v>0</v>
      </c>
      <c r="I147" s="14">
        <f t="shared" si="40"/>
        <v>83991</v>
      </c>
      <c r="J147" s="14">
        <f t="shared" si="40"/>
        <v>0</v>
      </c>
      <c r="K147" s="12">
        <f>SUBTOTAL(9,K148:K155)</f>
        <v>90926</v>
      </c>
      <c r="L147" s="5"/>
    </row>
    <row r="148" spans="1:12" x14ac:dyDescent="0.25">
      <c r="A148" s="3" t="s">
        <v>175</v>
      </c>
      <c r="B148" s="3" t="s">
        <v>176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4453</v>
      </c>
      <c r="J148" s="5">
        <v>0</v>
      </c>
      <c r="K148" s="9">
        <f t="shared" ref="K148:K155" si="41">SUM(C148:J148)</f>
        <v>4453</v>
      </c>
      <c r="L148" s="5"/>
    </row>
    <row r="149" spans="1:12" x14ac:dyDescent="0.25">
      <c r="A149" s="3" t="s">
        <v>177</v>
      </c>
      <c r="B149" s="3" t="s">
        <v>105</v>
      </c>
      <c r="C149" s="5">
        <v>0</v>
      </c>
      <c r="D149" s="5">
        <v>2155</v>
      </c>
      <c r="E149" s="5">
        <v>1193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9">
        <f t="shared" si="41"/>
        <v>3348</v>
      </c>
      <c r="L149" s="5"/>
    </row>
    <row r="150" spans="1:12" x14ac:dyDescent="0.25">
      <c r="A150" s="3" t="s">
        <v>178</v>
      </c>
      <c r="B150" s="3" t="s">
        <v>179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23461</v>
      </c>
      <c r="J150" s="5">
        <v>0</v>
      </c>
      <c r="K150" s="9">
        <f t="shared" si="41"/>
        <v>23461</v>
      </c>
      <c r="L150" s="5"/>
    </row>
    <row r="151" spans="1:12" x14ac:dyDescent="0.25">
      <c r="A151" s="3" t="s">
        <v>180</v>
      </c>
      <c r="B151" s="3" t="s">
        <v>181</v>
      </c>
      <c r="C151" s="5">
        <v>0</v>
      </c>
      <c r="D151" s="5">
        <v>2304</v>
      </c>
      <c r="E151" s="5">
        <v>1283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9">
        <f t="shared" si="41"/>
        <v>3587</v>
      </c>
      <c r="L151" s="5"/>
    </row>
    <row r="152" spans="1:12" x14ac:dyDescent="0.25">
      <c r="A152" s="3" t="s">
        <v>182</v>
      </c>
      <c r="B152" s="3" t="s">
        <v>183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30550</v>
      </c>
      <c r="J152" s="5">
        <v>0</v>
      </c>
      <c r="K152" s="9">
        <f t="shared" si="41"/>
        <v>30550</v>
      </c>
      <c r="L152" s="5"/>
    </row>
    <row r="153" spans="1:12" x14ac:dyDescent="0.25">
      <c r="A153" s="3" t="s">
        <v>184</v>
      </c>
      <c r="B153" s="3" t="s">
        <v>419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16788</v>
      </c>
      <c r="J153" s="5">
        <v>0</v>
      </c>
      <c r="K153" s="9">
        <f t="shared" si="41"/>
        <v>16788</v>
      </c>
      <c r="L153" s="5"/>
    </row>
    <row r="154" spans="1:12" x14ac:dyDescent="0.25">
      <c r="A154" s="3" t="s">
        <v>185</v>
      </c>
      <c r="B154" s="3" t="s">
        <v>420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2016</v>
      </c>
      <c r="J154" s="5">
        <v>0</v>
      </c>
      <c r="K154" s="9">
        <f t="shared" si="41"/>
        <v>2016</v>
      </c>
      <c r="L154" s="5"/>
    </row>
    <row r="155" spans="1:12" x14ac:dyDescent="0.25">
      <c r="A155" s="3" t="s">
        <v>186</v>
      </c>
      <c r="B155" s="3" t="s">
        <v>421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6723</v>
      </c>
      <c r="J155" s="5">
        <v>0</v>
      </c>
      <c r="K155" s="9">
        <f t="shared" si="41"/>
        <v>6723</v>
      </c>
      <c r="L155" s="5"/>
    </row>
    <row r="156" spans="1:12" x14ac:dyDescent="0.25">
      <c r="A156" s="3"/>
      <c r="B156" s="7" t="s">
        <v>187</v>
      </c>
      <c r="C156" s="17">
        <f t="shared" ref="C156:J156" si="42">SUBTOTAL(9,C157:C200)</f>
        <v>0</v>
      </c>
      <c r="D156" s="17">
        <f t="shared" si="42"/>
        <v>1662905</v>
      </c>
      <c r="E156" s="17">
        <f t="shared" si="42"/>
        <v>1081370</v>
      </c>
      <c r="F156" s="17">
        <f t="shared" si="42"/>
        <v>7296</v>
      </c>
      <c r="G156" s="17">
        <f t="shared" si="42"/>
        <v>67272</v>
      </c>
      <c r="H156" s="17">
        <f t="shared" si="42"/>
        <v>1430229</v>
      </c>
      <c r="I156" s="17">
        <f t="shared" si="42"/>
        <v>192088</v>
      </c>
      <c r="J156" s="17">
        <f t="shared" si="42"/>
        <v>0</v>
      </c>
      <c r="K156" s="18">
        <f>SUBTOTAL(9,K157:K200)</f>
        <v>4441160</v>
      </c>
      <c r="L156" s="5"/>
    </row>
    <row r="157" spans="1:12" x14ac:dyDescent="0.25">
      <c r="A157" s="3"/>
      <c r="B157" s="6" t="s">
        <v>188</v>
      </c>
      <c r="C157" s="14">
        <f t="shared" ref="C157:J157" si="43">SUBTOTAL(9,C158:C160)</f>
        <v>0</v>
      </c>
      <c r="D157" s="14">
        <f t="shared" si="43"/>
        <v>9721</v>
      </c>
      <c r="E157" s="14">
        <f t="shared" si="43"/>
        <v>516</v>
      </c>
      <c r="F157" s="14">
        <f t="shared" si="43"/>
        <v>740</v>
      </c>
      <c r="G157" s="14">
        <f t="shared" si="43"/>
        <v>0</v>
      </c>
      <c r="H157" s="14">
        <f t="shared" si="43"/>
        <v>22660</v>
      </c>
      <c r="I157" s="14">
        <f t="shared" si="43"/>
        <v>6257</v>
      </c>
      <c r="J157" s="14">
        <f t="shared" si="43"/>
        <v>0</v>
      </c>
      <c r="K157" s="12">
        <f>SUBTOTAL(9,K158:K160)</f>
        <v>39894</v>
      </c>
      <c r="L157" s="5"/>
    </row>
    <row r="158" spans="1:12" x14ac:dyDescent="0.25">
      <c r="A158" s="3" t="s">
        <v>189</v>
      </c>
      <c r="B158" s="3" t="s">
        <v>190</v>
      </c>
      <c r="C158" s="5">
        <v>0</v>
      </c>
      <c r="D158" s="5">
        <v>1690</v>
      </c>
      <c r="E158" s="5">
        <v>0</v>
      </c>
      <c r="F158" s="5">
        <v>740</v>
      </c>
      <c r="G158" s="5">
        <v>0</v>
      </c>
      <c r="H158" s="5">
        <v>20538</v>
      </c>
      <c r="I158" s="5">
        <v>6257</v>
      </c>
      <c r="J158" s="5">
        <v>0</v>
      </c>
      <c r="K158" s="9">
        <f t="shared" ref="K158:K164" si="44">SUM(C158:J158)</f>
        <v>29225</v>
      </c>
      <c r="L158" s="5"/>
    </row>
    <row r="159" spans="1:12" x14ac:dyDescent="0.25">
      <c r="A159" s="3" t="s">
        <v>191</v>
      </c>
      <c r="B159" s="3" t="s">
        <v>192</v>
      </c>
      <c r="C159" s="5">
        <v>0</v>
      </c>
      <c r="D159" s="5">
        <v>1565</v>
      </c>
      <c r="E159" s="5">
        <v>516</v>
      </c>
      <c r="F159" s="5">
        <v>0</v>
      </c>
      <c r="G159" s="5">
        <v>0</v>
      </c>
      <c r="H159" s="5">
        <v>2035</v>
      </c>
      <c r="I159" s="5">
        <v>0</v>
      </c>
      <c r="J159" s="5">
        <v>0</v>
      </c>
      <c r="K159" s="9">
        <f t="shared" si="44"/>
        <v>4116</v>
      </c>
      <c r="L159" s="5"/>
    </row>
    <row r="160" spans="1:12" x14ac:dyDescent="0.25">
      <c r="A160" s="3" t="s">
        <v>193</v>
      </c>
      <c r="B160" s="3" t="s">
        <v>194</v>
      </c>
      <c r="C160" s="5">
        <v>0</v>
      </c>
      <c r="D160" s="5">
        <v>6466</v>
      </c>
      <c r="E160" s="5">
        <v>0</v>
      </c>
      <c r="F160" s="5">
        <v>0</v>
      </c>
      <c r="G160" s="5">
        <v>0</v>
      </c>
      <c r="H160" s="5">
        <v>87</v>
      </c>
      <c r="I160" s="5">
        <v>0</v>
      </c>
      <c r="J160" s="5">
        <v>0</v>
      </c>
      <c r="K160" s="9">
        <f t="shared" si="44"/>
        <v>6553</v>
      </c>
      <c r="L160" s="5"/>
    </row>
    <row r="161" spans="1:12" x14ac:dyDescent="0.25">
      <c r="A161" s="3"/>
      <c r="B161" s="6" t="s">
        <v>195</v>
      </c>
      <c r="C161" s="14">
        <f t="shared" ref="C161:J161" si="45">SUBTOTAL(9,C162:C164)</f>
        <v>0</v>
      </c>
      <c r="D161" s="14">
        <f t="shared" si="45"/>
        <v>2975</v>
      </c>
      <c r="E161" s="14">
        <f t="shared" si="45"/>
        <v>307</v>
      </c>
      <c r="F161" s="14">
        <f t="shared" si="45"/>
        <v>234</v>
      </c>
      <c r="G161" s="14">
        <f t="shared" si="45"/>
        <v>0</v>
      </c>
      <c r="H161" s="14">
        <f t="shared" si="45"/>
        <v>6589</v>
      </c>
      <c r="I161" s="14">
        <f t="shared" si="45"/>
        <v>1940</v>
      </c>
      <c r="J161" s="14">
        <f t="shared" si="45"/>
        <v>0</v>
      </c>
      <c r="K161" s="12">
        <f>SUBTOTAL(9,K162:K164)</f>
        <v>12045</v>
      </c>
      <c r="L161" s="5"/>
    </row>
    <row r="162" spans="1:12" x14ac:dyDescent="0.25">
      <c r="A162" s="3" t="s">
        <v>189</v>
      </c>
      <c r="B162" s="3" t="s">
        <v>190</v>
      </c>
      <c r="C162" s="5">
        <v>0</v>
      </c>
      <c r="D162" s="5">
        <v>553</v>
      </c>
      <c r="E162" s="5">
        <v>0</v>
      </c>
      <c r="F162" s="5">
        <v>234</v>
      </c>
      <c r="G162" s="5">
        <v>0</v>
      </c>
      <c r="H162" s="5">
        <v>5690</v>
      </c>
      <c r="I162" s="5">
        <v>1940</v>
      </c>
      <c r="J162" s="5">
        <v>0</v>
      </c>
      <c r="K162" s="9">
        <f t="shared" si="44"/>
        <v>8417</v>
      </c>
      <c r="L162" s="5"/>
    </row>
    <row r="163" spans="1:12" x14ac:dyDescent="0.25">
      <c r="A163" s="3" t="s">
        <v>191</v>
      </c>
      <c r="B163" s="3" t="s">
        <v>192</v>
      </c>
      <c r="C163" s="5">
        <v>0</v>
      </c>
      <c r="D163" s="5">
        <v>650</v>
      </c>
      <c r="E163" s="5">
        <v>307</v>
      </c>
      <c r="F163" s="5">
        <v>0</v>
      </c>
      <c r="G163" s="5">
        <v>0</v>
      </c>
      <c r="H163" s="5">
        <v>869</v>
      </c>
      <c r="I163" s="5">
        <v>0</v>
      </c>
      <c r="J163" s="5">
        <v>0</v>
      </c>
      <c r="K163" s="9">
        <f t="shared" si="44"/>
        <v>1826</v>
      </c>
      <c r="L163" s="5"/>
    </row>
    <row r="164" spans="1:12" x14ac:dyDescent="0.25">
      <c r="A164" s="3" t="s">
        <v>193</v>
      </c>
      <c r="B164" s="3" t="s">
        <v>194</v>
      </c>
      <c r="C164" s="5">
        <v>0</v>
      </c>
      <c r="D164" s="5">
        <v>1772</v>
      </c>
      <c r="E164" s="5">
        <v>0</v>
      </c>
      <c r="F164" s="5">
        <v>0</v>
      </c>
      <c r="G164" s="5">
        <v>0</v>
      </c>
      <c r="H164" s="5">
        <v>30</v>
      </c>
      <c r="I164" s="5">
        <v>0</v>
      </c>
      <c r="J164" s="5">
        <v>0</v>
      </c>
      <c r="K164" s="9">
        <f t="shared" si="44"/>
        <v>1802</v>
      </c>
      <c r="L164" s="5"/>
    </row>
    <row r="165" spans="1:12" x14ac:dyDescent="0.25">
      <c r="A165" s="3"/>
      <c r="B165" s="6" t="s">
        <v>196</v>
      </c>
      <c r="C165" s="14">
        <f t="shared" ref="C165:J165" si="46">SUBTOTAL(9,C166:C167)</f>
        <v>0</v>
      </c>
      <c r="D165" s="14">
        <f t="shared" si="46"/>
        <v>5055</v>
      </c>
      <c r="E165" s="14">
        <f t="shared" si="46"/>
        <v>0</v>
      </c>
      <c r="F165" s="14">
        <f t="shared" si="46"/>
        <v>0</v>
      </c>
      <c r="G165" s="14">
        <f t="shared" si="46"/>
        <v>0</v>
      </c>
      <c r="H165" s="14">
        <f t="shared" si="46"/>
        <v>38281</v>
      </c>
      <c r="I165" s="14">
        <f t="shared" si="46"/>
        <v>0</v>
      </c>
      <c r="J165" s="14">
        <f t="shared" si="46"/>
        <v>0</v>
      </c>
      <c r="K165" s="12">
        <f>SUBTOTAL(9,K166:K167)</f>
        <v>43336</v>
      </c>
      <c r="L165" s="5"/>
    </row>
    <row r="166" spans="1:12" x14ac:dyDescent="0.25">
      <c r="A166" s="3" t="s">
        <v>197</v>
      </c>
      <c r="B166" s="3" t="s">
        <v>198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38211</v>
      </c>
      <c r="I166" s="5">
        <v>0</v>
      </c>
      <c r="J166" s="5">
        <v>0</v>
      </c>
      <c r="K166" s="9">
        <f t="shared" ref="K166:K167" si="47">SUM(C166:J166)</f>
        <v>38211</v>
      </c>
      <c r="L166" s="5"/>
    </row>
    <row r="167" spans="1:12" x14ac:dyDescent="0.25">
      <c r="A167" s="3" t="s">
        <v>199</v>
      </c>
      <c r="B167" s="3" t="s">
        <v>200</v>
      </c>
      <c r="C167" s="5">
        <v>0</v>
      </c>
      <c r="D167" s="5">
        <v>5055</v>
      </c>
      <c r="E167" s="5">
        <v>0</v>
      </c>
      <c r="F167" s="5">
        <v>0</v>
      </c>
      <c r="G167" s="5">
        <v>0</v>
      </c>
      <c r="H167" s="5">
        <v>70</v>
      </c>
      <c r="I167" s="5">
        <v>0</v>
      </c>
      <c r="J167" s="5">
        <v>0</v>
      </c>
      <c r="K167" s="9">
        <f t="shared" si="47"/>
        <v>5125</v>
      </c>
      <c r="L167" s="5"/>
    </row>
    <row r="168" spans="1:12" x14ac:dyDescent="0.25">
      <c r="A168" s="3"/>
      <c r="B168" s="6" t="s">
        <v>201</v>
      </c>
      <c r="C168" s="14">
        <f t="shared" ref="C168:J168" si="48">SUBTOTAL(9,C169:C170)</f>
        <v>0</v>
      </c>
      <c r="D168" s="14">
        <f t="shared" si="48"/>
        <v>8649</v>
      </c>
      <c r="E168" s="14">
        <f t="shared" si="48"/>
        <v>0</v>
      </c>
      <c r="F168" s="14">
        <f t="shared" si="48"/>
        <v>0</v>
      </c>
      <c r="G168" s="14">
        <f t="shared" si="48"/>
        <v>0</v>
      </c>
      <c r="H168" s="14">
        <f t="shared" si="48"/>
        <v>87957</v>
      </c>
      <c r="I168" s="14">
        <f t="shared" si="48"/>
        <v>0</v>
      </c>
      <c r="J168" s="14">
        <f t="shared" si="48"/>
        <v>0</v>
      </c>
      <c r="K168" s="12">
        <f>SUBTOTAL(9,K169:K170)</f>
        <v>96606</v>
      </c>
      <c r="L168" s="5"/>
    </row>
    <row r="169" spans="1:12" x14ac:dyDescent="0.25">
      <c r="A169" s="3" t="s">
        <v>197</v>
      </c>
      <c r="B169" s="3" t="s">
        <v>198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87838</v>
      </c>
      <c r="I169" s="5">
        <v>0</v>
      </c>
      <c r="J169" s="5">
        <v>0</v>
      </c>
      <c r="K169" s="9">
        <f t="shared" ref="K169:K170" si="49">SUM(C169:J169)</f>
        <v>87838</v>
      </c>
      <c r="L169" s="5"/>
    </row>
    <row r="170" spans="1:12" x14ac:dyDescent="0.25">
      <c r="A170" s="3" t="s">
        <v>199</v>
      </c>
      <c r="B170" s="3" t="s">
        <v>200</v>
      </c>
      <c r="C170" s="5">
        <v>0</v>
      </c>
      <c r="D170" s="5">
        <v>8649</v>
      </c>
      <c r="E170" s="5">
        <v>0</v>
      </c>
      <c r="F170" s="5">
        <v>0</v>
      </c>
      <c r="G170" s="5">
        <v>0</v>
      </c>
      <c r="H170" s="5">
        <v>119</v>
      </c>
      <c r="I170" s="5">
        <v>0</v>
      </c>
      <c r="J170" s="5">
        <v>0</v>
      </c>
      <c r="K170" s="9">
        <f t="shared" si="49"/>
        <v>8768</v>
      </c>
      <c r="L170" s="5"/>
    </row>
    <row r="171" spans="1:12" x14ac:dyDescent="0.25">
      <c r="A171" s="3"/>
      <c r="B171" s="6" t="s">
        <v>202</v>
      </c>
      <c r="C171" s="14">
        <f t="shared" ref="C171:J171" si="50">SUBTOTAL(9,C172:C173)</f>
        <v>0</v>
      </c>
      <c r="D171" s="14">
        <f t="shared" si="50"/>
        <v>1947</v>
      </c>
      <c r="E171" s="14">
        <f t="shared" si="50"/>
        <v>0</v>
      </c>
      <c r="F171" s="14">
        <f t="shared" si="50"/>
        <v>0</v>
      </c>
      <c r="G171" s="14">
        <f t="shared" si="50"/>
        <v>0</v>
      </c>
      <c r="H171" s="14">
        <f t="shared" si="50"/>
        <v>15322</v>
      </c>
      <c r="I171" s="14">
        <f t="shared" si="50"/>
        <v>0</v>
      </c>
      <c r="J171" s="14">
        <f t="shared" si="50"/>
        <v>0</v>
      </c>
      <c r="K171" s="12">
        <f>SUBTOTAL(9,K172:K173)</f>
        <v>17269</v>
      </c>
      <c r="L171" s="5"/>
    </row>
    <row r="172" spans="1:12" x14ac:dyDescent="0.25">
      <c r="A172" s="3" t="s">
        <v>197</v>
      </c>
      <c r="B172" s="3" t="s">
        <v>198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15297</v>
      </c>
      <c r="I172" s="5">
        <v>0</v>
      </c>
      <c r="J172" s="5">
        <v>0</v>
      </c>
      <c r="K172" s="9">
        <f t="shared" ref="K172:K173" si="51">SUM(C172:J172)</f>
        <v>15297</v>
      </c>
      <c r="L172" s="5"/>
    </row>
    <row r="173" spans="1:12" x14ac:dyDescent="0.25">
      <c r="A173" s="3" t="s">
        <v>199</v>
      </c>
      <c r="B173" s="3" t="s">
        <v>200</v>
      </c>
      <c r="C173" s="5">
        <v>0</v>
      </c>
      <c r="D173" s="5">
        <v>1947</v>
      </c>
      <c r="E173" s="5">
        <v>0</v>
      </c>
      <c r="F173" s="5">
        <v>0</v>
      </c>
      <c r="G173" s="5">
        <v>0</v>
      </c>
      <c r="H173" s="5">
        <v>25</v>
      </c>
      <c r="I173" s="5">
        <v>0</v>
      </c>
      <c r="J173" s="5">
        <v>0</v>
      </c>
      <c r="K173" s="9">
        <f t="shared" si="51"/>
        <v>1972</v>
      </c>
      <c r="L173" s="5"/>
    </row>
    <row r="174" spans="1:12" x14ac:dyDescent="0.25">
      <c r="A174" s="3"/>
      <c r="B174" s="6" t="s">
        <v>203</v>
      </c>
      <c r="C174" s="14">
        <f t="shared" ref="C174:J174" si="52">SUBTOTAL(9,C175:C181)</f>
        <v>0</v>
      </c>
      <c r="D174" s="14">
        <f t="shared" si="52"/>
        <v>41521</v>
      </c>
      <c r="E174" s="14">
        <f t="shared" si="52"/>
        <v>0</v>
      </c>
      <c r="F174" s="14">
        <f t="shared" si="52"/>
        <v>0</v>
      </c>
      <c r="G174" s="14">
        <f t="shared" si="52"/>
        <v>67272</v>
      </c>
      <c r="H174" s="14">
        <f t="shared" si="52"/>
        <v>102583</v>
      </c>
      <c r="I174" s="14">
        <f t="shared" si="52"/>
        <v>72950</v>
      </c>
      <c r="J174" s="14">
        <f t="shared" si="52"/>
        <v>0</v>
      </c>
      <c r="K174" s="12">
        <f>SUBTOTAL(9,K175:K181)</f>
        <v>284326</v>
      </c>
      <c r="L174" s="5"/>
    </row>
    <row r="175" spans="1:12" x14ac:dyDescent="0.25">
      <c r="A175" s="3" t="s">
        <v>204</v>
      </c>
      <c r="B175" s="3" t="s">
        <v>205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23279</v>
      </c>
      <c r="J175" s="5">
        <v>0</v>
      </c>
      <c r="K175" s="9">
        <f t="shared" ref="K175:K181" si="53">SUM(C175:J175)</f>
        <v>23279</v>
      </c>
      <c r="L175" s="5"/>
    </row>
    <row r="176" spans="1:12" x14ac:dyDescent="0.25">
      <c r="A176" s="3" t="s">
        <v>206</v>
      </c>
      <c r="B176" s="3" t="s">
        <v>207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33107</v>
      </c>
      <c r="J176" s="5">
        <v>0</v>
      </c>
      <c r="K176" s="9">
        <f t="shared" si="53"/>
        <v>33107</v>
      </c>
      <c r="L176" s="5"/>
    </row>
    <row r="177" spans="1:12" x14ac:dyDescent="0.25">
      <c r="A177" s="3" t="s">
        <v>208</v>
      </c>
      <c r="B177" s="3" t="s">
        <v>209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16564</v>
      </c>
      <c r="J177" s="5">
        <v>0</v>
      </c>
      <c r="K177" s="9">
        <f t="shared" si="53"/>
        <v>16564</v>
      </c>
      <c r="L177" s="5"/>
    </row>
    <row r="178" spans="1:12" x14ac:dyDescent="0.25">
      <c r="A178" s="3" t="s">
        <v>210</v>
      </c>
      <c r="B178" s="3" t="s">
        <v>211</v>
      </c>
      <c r="C178" s="5">
        <v>0</v>
      </c>
      <c r="D178" s="5">
        <v>4661</v>
      </c>
      <c r="E178" s="5">
        <v>0</v>
      </c>
      <c r="F178" s="5">
        <v>0</v>
      </c>
      <c r="G178" s="5">
        <v>8460</v>
      </c>
      <c r="H178" s="5">
        <v>0</v>
      </c>
      <c r="I178" s="5">
        <v>0</v>
      </c>
      <c r="J178" s="5">
        <v>0</v>
      </c>
      <c r="K178" s="9">
        <f t="shared" si="53"/>
        <v>13121</v>
      </c>
      <c r="L178" s="5"/>
    </row>
    <row r="179" spans="1:12" x14ac:dyDescent="0.25">
      <c r="A179" s="3" t="s">
        <v>212</v>
      </c>
      <c r="B179" s="3" t="s">
        <v>213</v>
      </c>
      <c r="C179" s="5">
        <v>0</v>
      </c>
      <c r="D179" s="5">
        <v>0</v>
      </c>
      <c r="E179" s="5">
        <v>0</v>
      </c>
      <c r="F179" s="5">
        <v>0</v>
      </c>
      <c r="G179" s="5">
        <v>58812</v>
      </c>
      <c r="H179" s="5">
        <v>0</v>
      </c>
      <c r="I179" s="5">
        <v>0</v>
      </c>
      <c r="J179" s="5">
        <v>0</v>
      </c>
      <c r="K179" s="9">
        <f t="shared" si="53"/>
        <v>58812</v>
      </c>
      <c r="L179" s="5"/>
    </row>
    <row r="180" spans="1:12" x14ac:dyDescent="0.25">
      <c r="A180" s="3" t="s">
        <v>214</v>
      </c>
      <c r="B180" s="3" t="s">
        <v>215</v>
      </c>
      <c r="C180" s="5">
        <v>0</v>
      </c>
      <c r="D180" s="5">
        <v>27546</v>
      </c>
      <c r="E180" s="5">
        <v>0</v>
      </c>
      <c r="F180" s="5">
        <v>0</v>
      </c>
      <c r="G180" s="5">
        <v>0</v>
      </c>
      <c r="H180" s="5">
        <v>102436</v>
      </c>
      <c r="I180" s="5">
        <v>0</v>
      </c>
      <c r="J180" s="5">
        <v>0</v>
      </c>
      <c r="K180" s="9">
        <f t="shared" si="53"/>
        <v>129982</v>
      </c>
      <c r="L180" s="5"/>
    </row>
    <row r="181" spans="1:12" x14ac:dyDescent="0.25">
      <c r="A181" s="3" t="s">
        <v>193</v>
      </c>
      <c r="B181" s="3" t="s">
        <v>194</v>
      </c>
      <c r="C181" s="5">
        <v>0</v>
      </c>
      <c r="D181" s="5">
        <v>9314</v>
      </c>
      <c r="E181" s="5">
        <v>0</v>
      </c>
      <c r="F181" s="5">
        <v>0</v>
      </c>
      <c r="G181" s="5">
        <v>0</v>
      </c>
      <c r="H181" s="5">
        <v>147</v>
      </c>
      <c r="I181" s="5">
        <v>0</v>
      </c>
      <c r="J181" s="5">
        <v>0</v>
      </c>
      <c r="K181" s="9">
        <f t="shared" si="53"/>
        <v>9461</v>
      </c>
      <c r="L181" s="5"/>
    </row>
    <row r="182" spans="1:12" x14ac:dyDescent="0.25">
      <c r="A182" s="3"/>
      <c r="B182" s="6" t="s">
        <v>216</v>
      </c>
      <c r="C182" s="14">
        <f t="shared" ref="C182:J182" si="54">SUBTOTAL(9,C183:C186)</f>
        <v>0</v>
      </c>
      <c r="D182" s="14">
        <f t="shared" si="54"/>
        <v>0</v>
      </c>
      <c r="E182" s="14">
        <f t="shared" si="54"/>
        <v>0</v>
      </c>
      <c r="F182" s="14">
        <f t="shared" si="54"/>
        <v>0</v>
      </c>
      <c r="G182" s="14">
        <f t="shared" si="54"/>
        <v>0</v>
      </c>
      <c r="H182" s="14">
        <f t="shared" si="54"/>
        <v>0</v>
      </c>
      <c r="I182" s="14">
        <f t="shared" si="54"/>
        <v>37825</v>
      </c>
      <c r="J182" s="14">
        <f t="shared" si="54"/>
        <v>0</v>
      </c>
      <c r="K182" s="12">
        <f>SUBTOTAL(9,K183:K186)</f>
        <v>37825</v>
      </c>
      <c r="L182" s="5"/>
    </row>
    <row r="183" spans="1:12" x14ac:dyDescent="0.25">
      <c r="A183" s="3" t="s">
        <v>217</v>
      </c>
      <c r="B183" s="3" t="s">
        <v>218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5770</v>
      </c>
      <c r="J183" s="5">
        <v>0</v>
      </c>
      <c r="K183" s="9">
        <f t="shared" ref="K183:K186" si="55">SUM(C183:J183)</f>
        <v>5770</v>
      </c>
      <c r="L183" s="5"/>
    </row>
    <row r="184" spans="1:12" x14ac:dyDescent="0.25">
      <c r="A184" s="3" t="s">
        <v>219</v>
      </c>
      <c r="B184" s="3" t="s">
        <v>220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3253</v>
      </c>
      <c r="J184" s="5">
        <v>0</v>
      </c>
      <c r="K184" s="9">
        <f t="shared" si="55"/>
        <v>3253</v>
      </c>
      <c r="L184" s="5"/>
    </row>
    <row r="185" spans="1:12" x14ac:dyDescent="0.25">
      <c r="A185" s="3" t="s">
        <v>221</v>
      </c>
      <c r="B185" s="3" t="s">
        <v>222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3633</v>
      </c>
      <c r="J185" s="5">
        <v>0</v>
      </c>
      <c r="K185" s="9">
        <f t="shared" si="55"/>
        <v>3633</v>
      </c>
      <c r="L185" s="5"/>
    </row>
    <row r="186" spans="1:12" x14ac:dyDescent="0.25">
      <c r="A186" s="3" t="s">
        <v>223</v>
      </c>
      <c r="B186" s="3" t="s">
        <v>224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25169</v>
      </c>
      <c r="J186" s="5">
        <v>0</v>
      </c>
      <c r="K186" s="9">
        <f t="shared" si="55"/>
        <v>25169</v>
      </c>
      <c r="L186" s="5"/>
    </row>
    <row r="187" spans="1:12" x14ac:dyDescent="0.25">
      <c r="A187" s="3"/>
      <c r="B187" s="6" t="s">
        <v>225</v>
      </c>
      <c r="C187" s="14">
        <f t="shared" ref="C187:J187" si="56">SUBTOTAL(9,C188:C190)</f>
        <v>0</v>
      </c>
      <c r="D187" s="14">
        <f t="shared" si="56"/>
        <v>6552</v>
      </c>
      <c r="E187" s="14">
        <f t="shared" si="56"/>
        <v>2861</v>
      </c>
      <c r="F187" s="14">
        <f t="shared" si="56"/>
        <v>0</v>
      </c>
      <c r="G187" s="14">
        <f t="shared" si="56"/>
        <v>0</v>
      </c>
      <c r="H187" s="14">
        <f t="shared" si="56"/>
        <v>24028</v>
      </c>
      <c r="I187" s="14">
        <f t="shared" si="56"/>
        <v>25370</v>
      </c>
      <c r="J187" s="14">
        <f t="shared" si="56"/>
        <v>0</v>
      </c>
      <c r="K187" s="12">
        <f>SUBTOTAL(9,K188:K190)</f>
        <v>58811</v>
      </c>
      <c r="L187" s="5"/>
    </row>
    <row r="188" spans="1:12" x14ac:dyDescent="0.25">
      <c r="A188" s="3" t="s">
        <v>226</v>
      </c>
      <c r="B188" s="3" t="s">
        <v>417</v>
      </c>
      <c r="C188" s="5">
        <v>0</v>
      </c>
      <c r="D188" s="5">
        <v>1402</v>
      </c>
      <c r="E188" s="5">
        <v>535</v>
      </c>
      <c r="F188" s="5">
        <v>0</v>
      </c>
      <c r="G188" s="5">
        <v>0</v>
      </c>
      <c r="H188" s="5">
        <v>11566</v>
      </c>
      <c r="I188" s="5">
        <v>0</v>
      </c>
      <c r="J188" s="5">
        <v>0</v>
      </c>
      <c r="K188" s="9">
        <f t="shared" ref="K188:K190" si="57">SUM(C188:J188)</f>
        <v>13503</v>
      </c>
      <c r="L188" s="5"/>
    </row>
    <row r="189" spans="1:12" x14ac:dyDescent="0.25">
      <c r="A189" s="3" t="s">
        <v>227</v>
      </c>
      <c r="B189" s="3" t="s">
        <v>418</v>
      </c>
      <c r="C189" s="5">
        <v>0</v>
      </c>
      <c r="D189" s="5">
        <v>5150</v>
      </c>
      <c r="E189" s="5">
        <v>2326</v>
      </c>
      <c r="F189" s="5">
        <v>0</v>
      </c>
      <c r="G189" s="5">
        <v>0</v>
      </c>
      <c r="H189" s="5">
        <v>12462</v>
      </c>
      <c r="I189" s="5">
        <v>0</v>
      </c>
      <c r="J189" s="5">
        <v>0</v>
      </c>
      <c r="K189" s="9">
        <f t="shared" si="57"/>
        <v>19938</v>
      </c>
      <c r="L189" s="5"/>
    </row>
    <row r="190" spans="1:12" x14ac:dyDescent="0.25">
      <c r="A190" s="3" t="s">
        <v>228</v>
      </c>
      <c r="B190" s="3" t="s">
        <v>229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25370</v>
      </c>
      <c r="J190" s="5">
        <v>0</v>
      </c>
      <c r="K190" s="9">
        <f t="shared" si="57"/>
        <v>25370</v>
      </c>
      <c r="L190" s="5"/>
    </row>
    <row r="191" spans="1:12" x14ac:dyDescent="0.25">
      <c r="A191" s="3"/>
      <c r="B191" s="6" t="s">
        <v>230</v>
      </c>
      <c r="C191" s="14">
        <f t="shared" ref="C191:J191" si="58">SUBTOTAL(9,C192:C200)</f>
        <v>0</v>
      </c>
      <c r="D191" s="14">
        <f t="shared" si="58"/>
        <v>1586485</v>
      </c>
      <c r="E191" s="14">
        <f t="shared" si="58"/>
        <v>1077686</v>
      </c>
      <c r="F191" s="14">
        <f t="shared" si="58"/>
        <v>6322</v>
      </c>
      <c r="G191" s="14">
        <f t="shared" si="58"/>
        <v>0</v>
      </c>
      <c r="H191" s="14">
        <f t="shared" si="58"/>
        <v>1132809</v>
      </c>
      <c r="I191" s="14">
        <f t="shared" si="58"/>
        <v>47746</v>
      </c>
      <c r="J191" s="14">
        <f t="shared" si="58"/>
        <v>0</v>
      </c>
      <c r="K191" s="12">
        <f>SUBTOTAL(9,K192:K200)</f>
        <v>3851048</v>
      </c>
      <c r="L191" s="5"/>
    </row>
    <row r="192" spans="1:12" x14ac:dyDescent="0.25">
      <c r="A192" s="3" t="s">
        <v>231</v>
      </c>
      <c r="B192" s="3" t="s">
        <v>232</v>
      </c>
      <c r="C192" s="5">
        <v>0</v>
      </c>
      <c r="D192" s="5">
        <v>69647</v>
      </c>
      <c r="E192" s="5">
        <v>38711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9">
        <f t="shared" ref="K192:K200" si="59">SUM(C192:J192)</f>
        <v>108358</v>
      </c>
      <c r="L192" s="5"/>
    </row>
    <row r="193" spans="1:12" x14ac:dyDescent="0.25">
      <c r="A193" s="3" t="s">
        <v>233</v>
      </c>
      <c r="B193" s="3" t="s">
        <v>112</v>
      </c>
      <c r="C193" s="5">
        <v>0</v>
      </c>
      <c r="D193" s="5">
        <v>136734</v>
      </c>
      <c r="E193" s="5">
        <v>85115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9">
        <f t="shared" si="59"/>
        <v>221849</v>
      </c>
      <c r="L193" s="5"/>
    </row>
    <row r="194" spans="1:12" x14ac:dyDescent="0.25">
      <c r="A194" s="3" t="s">
        <v>234</v>
      </c>
      <c r="B194" s="3" t="s">
        <v>192</v>
      </c>
      <c r="C194" s="5">
        <v>0</v>
      </c>
      <c r="D194" s="5">
        <v>1140826</v>
      </c>
      <c r="E194" s="5">
        <v>823050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9">
        <f t="shared" si="59"/>
        <v>1963876</v>
      </c>
      <c r="L194" s="5"/>
    </row>
    <row r="195" spans="1:12" x14ac:dyDescent="0.25">
      <c r="A195" s="3" t="s">
        <v>235</v>
      </c>
      <c r="B195" s="3" t="s">
        <v>236</v>
      </c>
      <c r="C195" s="5">
        <v>0</v>
      </c>
      <c r="D195" s="5">
        <v>24899</v>
      </c>
      <c r="E195" s="5">
        <v>5076</v>
      </c>
      <c r="F195" s="5">
        <v>0</v>
      </c>
      <c r="G195" s="5">
        <v>0</v>
      </c>
      <c r="H195" s="5">
        <v>32832</v>
      </c>
      <c r="I195" s="5">
        <v>0</v>
      </c>
      <c r="J195" s="5">
        <v>0</v>
      </c>
      <c r="K195" s="9">
        <f t="shared" si="59"/>
        <v>62807</v>
      </c>
      <c r="L195" s="5"/>
    </row>
    <row r="196" spans="1:12" x14ac:dyDescent="0.25">
      <c r="A196" s="3" t="s">
        <v>237</v>
      </c>
      <c r="B196" s="3" t="s">
        <v>413</v>
      </c>
      <c r="C196" s="5">
        <v>0</v>
      </c>
      <c r="D196" s="5">
        <v>33658</v>
      </c>
      <c r="E196" s="5">
        <v>20462</v>
      </c>
      <c r="F196" s="5">
        <v>0</v>
      </c>
      <c r="G196" s="5">
        <v>0</v>
      </c>
      <c r="H196" s="5">
        <v>485895</v>
      </c>
      <c r="I196" s="5">
        <v>0</v>
      </c>
      <c r="J196" s="5">
        <v>0</v>
      </c>
      <c r="K196" s="9">
        <f t="shared" si="59"/>
        <v>540015</v>
      </c>
      <c r="L196" s="5"/>
    </row>
    <row r="197" spans="1:12" x14ac:dyDescent="0.25">
      <c r="A197" s="3" t="s">
        <v>238</v>
      </c>
      <c r="B197" s="3" t="s">
        <v>414</v>
      </c>
      <c r="C197" s="5">
        <v>0</v>
      </c>
      <c r="D197" s="5">
        <v>116189</v>
      </c>
      <c r="E197" s="5">
        <v>72381</v>
      </c>
      <c r="F197" s="5">
        <v>0</v>
      </c>
      <c r="G197" s="5">
        <v>0</v>
      </c>
      <c r="H197" s="5">
        <v>483527</v>
      </c>
      <c r="I197" s="5">
        <v>0</v>
      </c>
      <c r="J197" s="5">
        <v>0</v>
      </c>
      <c r="K197" s="9">
        <f t="shared" si="59"/>
        <v>672097</v>
      </c>
      <c r="L197" s="5"/>
    </row>
    <row r="198" spans="1:12" x14ac:dyDescent="0.25">
      <c r="A198" s="3" t="s">
        <v>239</v>
      </c>
      <c r="B198" s="3" t="s">
        <v>240</v>
      </c>
      <c r="C198" s="5">
        <v>0</v>
      </c>
      <c r="D198" s="5">
        <v>16776</v>
      </c>
      <c r="E198" s="5">
        <v>8009</v>
      </c>
      <c r="F198" s="5">
        <v>0</v>
      </c>
      <c r="G198" s="5">
        <v>0</v>
      </c>
      <c r="H198" s="5">
        <v>40529</v>
      </c>
      <c r="I198" s="5">
        <v>14765</v>
      </c>
      <c r="J198" s="5">
        <v>0</v>
      </c>
      <c r="K198" s="9">
        <f t="shared" si="59"/>
        <v>80079</v>
      </c>
      <c r="L198" s="5"/>
    </row>
    <row r="199" spans="1:12" x14ac:dyDescent="0.25">
      <c r="A199" s="3" t="s">
        <v>241</v>
      </c>
      <c r="B199" s="3" t="s">
        <v>415</v>
      </c>
      <c r="C199" s="5">
        <v>0</v>
      </c>
      <c r="D199" s="5">
        <v>41755</v>
      </c>
      <c r="E199" s="5">
        <v>22138</v>
      </c>
      <c r="F199" s="5">
        <v>0</v>
      </c>
      <c r="G199" s="5">
        <v>0</v>
      </c>
      <c r="H199" s="5">
        <v>0</v>
      </c>
      <c r="I199" s="5">
        <v>32981</v>
      </c>
      <c r="J199" s="5">
        <v>0</v>
      </c>
      <c r="K199" s="9">
        <f t="shared" si="59"/>
        <v>96874</v>
      </c>
      <c r="L199" s="5"/>
    </row>
    <row r="200" spans="1:12" x14ac:dyDescent="0.25">
      <c r="A200" s="3" t="s">
        <v>242</v>
      </c>
      <c r="B200" s="3" t="s">
        <v>416</v>
      </c>
      <c r="C200" s="5">
        <v>0</v>
      </c>
      <c r="D200" s="5">
        <v>6001</v>
      </c>
      <c r="E200" s="5">
        <v>2744</v>
      </c>
      <c r="F200" s="5">
        <v>6322</v>
      </c>
      <c r="G200" s="5">
        <v>0</v>
      </c>
      <c r="H200" s="5">
        <v>90026</v>
      </c>
      <c r="I200" s="5">
        <v>0</v>
      </c>
      <c r="J200" s="5">
        <v>0</v>
      </c>
      <c r="K200" s="9">
        <f t="shared" si="59"/>
        <v>105093</v>
      </c>
      <c r="L200" s="5"/>
    </row>
    <row r="201" spans="1:12" x14ac:dyDescent="0.25">
      <c r="A201" s="3"/>
      <c r="B201" s="7" t="s">
        <v>455</v>
      </c>
      <c r="C201" s="17">
        <f t="shared" ref="C201:J201" si="60">SUBTOTAL(9,C202:C260)</f>
        <v>0</v>
      </c>
      <c r="D201" s="17">
        <f t="shared" si="60"/>
        <v>3771278</v>
      </c>
      <c r="E201" s="17">
        <f t="shared" si="60"/>
        <v>320829</v>
      </c>
      <c r="F201" s="17">
        <f t="shared" si="60"/>
        <v>1955634</v>
      </c>
      <c r="G201" s="17">
        <f t="shared" si="60"/>
        <v>3360090</v>
      </c>
      <c r="H201" s="17">
        <f t="shared" si="60"/>
        <v>2779930</v>
      </c>
      <c r="I201" s="17">
        <f t="shared" si="60"/>
        <v>2482209</v>
      </c>
      <c r="J201" s="17">
        <f t="shared" si="60"/>
        <v>0</v>
      </c>
      <c r="K201" s="18">
        <f>SUBTOTAL(9,K202:K260)</f>
        <v>14669970</v>
      </c>
      <c r="L201" s="5"/>
    </row>
    <row r="202" spans="1:12" x14ac:dyDescent="0.25">
      <c r="A202" s="3"/>
      <c r="B202" s="6" t="s">
        <v>243</v>
      </c>
      <c r="C202" s="14">
        <f t="shared" ref="C202:J202" si="61">SUBTOTAL(9,C203:C207)</f>
        <v>0</v>
      </c>
      <c r="D202" s="14">
        <f t="shared" si="61"/>
        <v>4793</v>
      </c>
      <c r="E202" s="14">
        <f t="shared" si="61"/>
        <v>1904</v>
      </c>
      <c r="F202" s="14">
        <f t="shared" si="61"/>
        <v>258431</v>
      </c>
      <c r="G202" s="14">
        <f t="shared" si="61"/>
        <v>217997</v>
      </c>
      <c r="H202" s="14">
        <f t="shared" si="61"/>
        <v>0</v>
      </c>
      <c r="I202" s="14">
        <f t="shared" si="61"/>
        <v>622412</v>
      </c>
      <c r="J202" s="14">
        <f t="shared" si="61"/>
        <v>0</v>
      </c>
      <c r="K202" s="12">
        <f>SUBTOTAL(9,K203:K207)</f>
        <v>1105537</v>
      </c>
      <c r="L202" s="5"/>
    </row>
    <row r="203" spans="1:12" x14ac:dyDescent="0.25">
      <c r="A203" s="3" t="s">
        <v>244</v>
      </c>
      <c r="B203" s="3" t="s">
        <v>410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388610</v>
      </c>
      <c r="J203" s="5">
        <v>0</v>
      </c>
      <c r="K203" s="9">
        <f t="shared" ref="K203:K207" si="62">SUM(C203:J203)</f>
        <v>388610</v>
      </c>
      <c r="L203" s="5"/>
    </row>
    <row r="204" spans="1:12" x14ac:dyDescent="0.25">
      <c r="A204" s="3" t="s">
        <v>245</v>
      </c>
      <c r="B204" s="3" t="s">
        <v>411</v>
      </c>
      <c r="C204" s="5">
        <v>0</v>
      </c>
      <c r="D204" s="5">
        <v>0</v>
      </c>
      <c r="E204" s="5">
        <v>0</v>
      </c>
      <c r="F204" s="5">
        <v>0</v>
      </c>
      <c r="G204" s="5">
        <v>217997</v>
      </c>
      <c r="H204" s="5">
        <v>0</v>
      </c>
      <c r="I204" s="5">
        <v>86281</v>
      </c>
      <c r="J204" s="5">
        <v>0</v>
      </c>
      <c r="K204" s="9">
        <f t="shared" si="62"/>
        <v>304278</v>
      </c>
      <c r="L204" s="5"/>
    </row>
    <row r="205" spans="1:12" x14ac:dyDescent="0.25">
      <c r="A205" s="3" t="s">
        <v>246</v>
      </c>
      <c r="B205" s="3" t="s">
        <v>412</v>
      </c>
      <c r="C205" s="5">
        <v>0</v>
      </c>
      <c r="D205" s="5">
        <v>0</v>
      </c>
      <c r="E205" s="5">
        <v>0</v>
      </c>
      <c r="F205" s="5">
        <v>258431</v>
      </c>
      <c r="G205" s="5">
        <v>0</v>
      </c>
      <c r="H205" s="5">
        <v>0</v>
      </c>
      <c r="I205" s="5">
        <v>141245</v>
      </c>
      <c r="J205" s="5">
        <v>0</v>
      </c>
      <c r="K205" s="9">
        <f t="shared" si="62"/>
        <v>399676</v>
      </c>
      <c r="L205" s="5"/>
    </row>
    <row r="206" spans="1:12" x14ac:dyDescent="0.25">
      <c r="A206" s="3" t="s">
        <v>247</v>
      </c>
      <c r="B206" s="3" t="s">
        <v>248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6276</v>
      </c>
      <c r="J206" s="5">
        <v>0</v>
      </c>
      <c r="K206" s="9">
        <f t="shared" si="62"/>
        <v>6276</v>
      </c>
      <c r="L206" s="5"/>
    </row>
    <row r="207" spans="1:12" x14ac:dyDescent="0.25">
      <c r="A207" s="3" t="s">
        <v>249</v>
      </c>
      <c r="B207" s="3" t="s">
        <v>250</v>
      </c>
      <c r="C207" s="5">
        <v>0</v>
      </c>
      <c r="D207" s="5">
        <v>4793</v>
      </c>
      <c r="E207" s="5">
        <v>1904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9">
        <f t="shared" si="62"/>
        <v>6697</v>
      </c>
      <c r="L207" s="5"/>
    </row>
    <row r="208" spans="1:12" x14ac:dyDescent="0.25">
      <c r="A208" s="3"/>
      <c r="B208" s="6" t="s">
        <v>251</v>
      </c>
      <c r="C208" s="14">
        <f t="shared" ref="C208:J208" si="63">SUBTOTAL(9,C209:C215)</f>
        <v>0</v>
      </c>
      <c r="D208" s="14">
        <f t="shared" si="63"/>
        <v>109124</v>
      </c>
      <c r="E208" s="14">
        <f t="shared" si="63"/>
        <v>10538</v>
      </c>
      <c r="F208" s="14">
        <f t="shared" si="63"/>
        <v>46263</v>
      </c>
      <c r="G208" s="14">
        <f t="shared" si="63"/>
        <v>33602</v>
      </c>
      <c r="H208" s="14">
        <f t="shared" si="63"/>
        <v>16237</v>
      </c>
      <c r="I208" s="14">
        <f t="shared" si="63"/>
        <v>0</v>
      </c>
      <c r="J208" s="14">
        <f t="shared" si="63"/>
        <v>0</v>
      </c>
      <c r="K208" s="12">
        <f>SUBTOTAL(9,K209:K215)</f>
        <v>215764</v>
      </c>
      <c r="L208" s="5"/>
    </row>
    <row r="209" spans="1:12" x14ac:dyDescent="0.25">
      <c r="A209" s="3" t="s">
        <v>252</v>
      </c>
      <c r="B209" s="3" t="s">
        <v>253</v>
      </c>
      <c r="C209" s="5">
        <v>0</v>
      </c>
      <c r="D209" s="5">
        <v>8369</v>
      </c>
      <c r="E209" s="5">
        <v>9312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9">
        <f t="shared" ref="K209:K215" si="64">SUM(C209:J209)</f>
        <v>17681</v>
      </c>
      <c r="L209" s="5"/>
    </row>
    <row r="210" spans="1:12" x14ac:dyDescent="0.25">
      <c r="A210" s="8" t="s">
        <v>254</v>
      </c>
      <c r="B210" s="3" t="s">
        <v>255</v>
      </c>
      <c r="C210" s="5">
        <v>0</v>
      </c>
      <c r="D210" s="5">
        <v>800</v>
      </c>
      <c r="E210" s="5">
        <v>0</v>
      </c>
      <c r="F210" s="5">
        <v>3804</v>
      </c>
      <c r="G210" s="5">
        <v>0</v>
      </c>
      <c r="H210" s="5">
        <v>43</v>
      </c>
      <c r="I210" s="5">
        <v>0</v>
      </c>
      <c r="J210" s="5">
        <v>0</v>
      </c>
      <c r="K210" s="9">
        <f t="shared" si="64"/>
        <v>4647</v>
      </c>
      <c r="L210" s="5"/>
    </row>
    <row r="211" spans="1:12" x14ac:dyDescent="0.25">
      <c r="A211" s="3" t="s">
        <v>256</v>
      </c>
      <c r="B211" s="3" t="s">
        <v>257</v>
      </c>
      <c r="C211" s="5">
        <v>0</v>
      </c>
      <c r="D211" s="5">
        <v>15244</v>
      </c>
      <c r="E211" s="5">
        <v>0</v>
      </c>
      <c r="F211" s="5">
        <v>0</v>
      </c>
      <c r="G211" s="5">
        <v>33438</v>
      </c>
      <c r="H211" s="5">
        <v>0</v>
      </c>
      <c r="I211" s="5">
        <v>0</v>
      </c>
      <c r="J211" s="5">
        <v>0</v>
      </c>
      <c r="K211" s="9">
        <f t="shared" si="64"/>
        <v>48682</v>
      </c>
      <c r="L211" s="5"/>
    </row>
    <row r="212" spans="1:12" x14ac:dyDescent="0.25">
      <c r="A212" s="3" t="s">
        <v>258</v>
      </c>
      <c r="B212" s="3" t="s">
        <v>259</v>
      </c>
      <c r="C212" s="5">
        <v>0</v>
      </c>
      <c r="D212" s="5">
        <v>1531</v>
      </c>
      <c r="E212" s="5">
        <v>0</v>
      </c>
      <c r="F212" s="5">
        <v>0</v>
      </c>
      <c r="G212" s="5">
        <v>164</v>
      </c>
      <c r="H212" s="5">
        <v>0</v>
      </c>
      <c r="I212" s="5">
        <v>0</v>
      </c>
      <c r="J212" s="5">
        <v>0</v>
      </c>
      <c r="K212" s="9">
        <f t="shared" si="64"/>
        <v>1695</v>
      </c>
      <c r="L212" s="5"/>
    </row>
    <row r="213" spans="1:12" x14ac:dyDescent="0.25">
      <c r="A213" s="3" t="s">
        <v>260</v>
      </c>
      <c r="B213" s="3" t="s">
        <v>261</v>
      </c>
      <c r="C213" s="5">
        <v>0</v>
      </c>
      <c r="D213" s="5">
        <v>76066</v>
      </c>
      <c r="E213" s="5">
        <v>1226</v>
      </c>
      <c r="F213" s="5">
        <v>0</v>
      </c>
      <c r="G213" s="5">
        <v>0</v>
      </c>
      <c r="H213" s="5">
        <v>15144</v>
      </c>
      <c r="I213" s="5">
        <v>0</v>
      </c>
      <c r="J213" s="5">
        <v>0</v>
      </c>
      <c r="K213" s="9">
        <f t="shared" si="64"/>
        <v>92436</v>
      </c>
      <c r="L213" s="5"/>
    </row>
    <row r="214" spans="1:12" x14ac:dyDescent="0.25">
      <c r="A214" s="3" t="s">
        <v>262</v>
      </c>
      <c r="B214" s="3" t="s">
        <v>263</v>
      </c>
      <c r="C214" s="5">
        <v>0</v>
      </c>
      <c r="D214" s="5">
        <v>6538</v>
      </c>
      <c r="E214" s="5">
        <v>0</v>
      </c>
      <c r="F214" s="5">
        <v>39320</v>
      </c>
      <c r="G214" s="5">
        <v>0</v>
      </c>
      <c r="H214" s="5">
        <v>967</v>
      </c>
      <c r="I214" s="5">
        <v>0</v>
      </c>
      <c r="J214" s="5">
        <v>0</v>
      </c>
      <c r="K214" s="9">
        <f t="shared" si="64"/>
        <v>46825</v>
      </c>
      <c r="L214" s="5"/>
    </row>
    <row r="215" spans="1:12" x14ac:dyDescent="0.25">
      <c r="A215" s="3" t="s">
        <v>264</v>
      </c>
      <c r="B215" s="3" t="s">
        <v>265</v>
      </c>
      <c r="C215" s="5">
        <v>0</v>
      </c>
      <c r="D215" s="5">
        <v>576</v>
      </c>
      <c r="E215" s="5">
        <v>0</v>
      </c>
      <c r="F215" s="5">
        <v>3139</v>
      </c>
      <c r="G215" s="5">
        <v>0</v>
      </c>
      <c r="H215" s="5">
        <v>83</v>
      </c>
      <c r="I215" s="5">
        <v>0</v>
      </c>
      <c r="J215" s="5">
        <v>0</v>
      </c>
      <c r="K215" s="9">
        <f t="shared" si="64"/>
        <v>3798</v>
      </c>
      <c r="L215" s="5"/>
    </row>
    <row r="216" spans="1:12" x14ac:dyDescent="0.25">
      <c r="A216" s="3"/>
      <c r="B216" s="6" t="s">
        <v>266</v>
      </c>
      <c r="C216" s="14">
        <f t="shared" ref="C216:J216" si="65">SUBTOTAL(9,C217:C227)</f>
        <v>0</v>
      </c>
      <c r="D216" s="14">
        <f t="shared" si="65"/>
        <v>644857</v>
      </c>
      <c r="E216" s="14">
        <f t="shared" si="65"/>
        <v>136442</v>
      </c>
      <c r="F216" s="14">
        <f t="shared" si="65"/>
        <v>278563</v>
      </c>
      <c r="G216" s="14">
        <f t="shared" si="65"/>
        <v>864731</v>
      </c>
      <c r="H216" s="14">
        <f t="shared" si="65"/>
        <v>72305</v>
      </c>
      <c r="I216" s="14">
        <f t="shared" si="65"/>
        <v>21085</v>
      </c>
      <c r="J216" s="14">
        <f t="shared" si="65"/>
        <v>0</v>
      </c>
      <c r="K216" s="12">
        <f>SUBTOTAL(9,K217:K227)</f>
        <v>2017983</v>
      </c>
      <c r="L216" s="5"/>
    </row>
    <row r="217" spans="1:12" x14ac:dyDescent="0.25">
      <c r="A217" s="3" t="s">
        <v>267</v>
      </c>
      <c r="B217" s="3" t="s">
        <v>404</v>
      </c>
      <c r="C217" s="5">
        <v>0</v>
      </c>
      <c r="D217" s="5">
        <v>16290</v>
      </c>
      <c r="E217" s="5">
        <v>8416</v>
      </c>
      <c r="F217" s="5">
        <v>0</v>
      </c>
      <c r="G217" s="5">
        <v>0</v>
      </c>
      <c r="H217" s="5">
        <v>0</v>
      </c>
      <c r="I217" s="5">
        <v>19127</v>
      </c>
      <c r="J217" s="5">
        <v>0</v>
      </c>
      <c r="K217" s="9">
        <f t="shared" ref="K217:K227" si="66">SUM(C217:J217)</f>
        <v>43833</v>
      </c>
      <c r="L217" s="5"/>
    </row>
    <row r="218" spans="1:12" x14ac:dyDescent="0.25">
      <c r="A218" s="3" t="s">
        <v>268</v>
      </c>
      <c r="B218" s="3" t="s">
        <v>405</v>
      </c>
      <c r="C218" s="5">
        <v>0</v>
      </c>
      <c r="D218" s="5">
        <v>13820</v>
      </c>
      <c r="E218" s="5">
        <v>11180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9">
        <f t="shared" si="66"/>
        <v>25000</v>
      </c>
      <c r="L218" s="5"/>
    </row>
    <row r="219" spans="1:12" x14ac:dyDescent="0.25">
      <c r="A219" s="3" t="s">
        <v>269</v>
      </c>
      <c r="B219" s="3" t="s">
        <v>406</v>
      </c>
      <c r="C219" s="5">
        <v>0</v>
      </c>
      <c r="D219" s="5">
        <v>8359</v>
      </c>
      <c r="E219" s="5">
        <v>1153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9">
        <f t="shared" si="66"/>
        <v>9512</v>
      </c>
      <c r="L219" s="5"/>
    </row>
    <row r="220" spans="1:12" x14ac:dyDescent="0.25">
      <c r="A220" s="3" t="s">
        <v>270</v>
      </c>
      <c r="B220" s="3" t="s">
        <v>407</v>
      </c>
      <c r="C220" s="5">
        <v>0</v>
      </c>
      <c r="D220" s="5">
        <v>1434</v>
      </c>
      <c r="E220" s="5">
        <v>821</v>
      </c>
      <c r="F220" s="5">
        <v>0</v>
      </c>
      <c r="G220" s="5">
        <v>0</v>
      </c>
      <c r="H220" s="5">
        <v>0</v>
      </c>
      <c r="I220" s="5">
        <v>1958</v>
      </c>
      <c r="J220" s="5">
        <v>0</v>
      </c>
      <c r="K220" s="9">
        <f t="shared" si="66"/>
        <v>4213</v>
      </c>
      <c r="L220" s="5"/>
    </row>
    <row r="221" spans="1:12" x14ac:dyDescent="0.25">
      <c r="A221" s="3" t="s">
        <v>271</v>
      </c>
      <c r="B221" s="3" t="s">
        <v>272</v>
      </c>
      <c r="C221" s="5">
        <v>0</v>
      </c>
      <c r="D221" s="5">
        <v>62012</v>
      </c>
      <c r="E221" s="5">
        <v>19979</v>
      </c>
      <c r="F221" s="5">
        <v>0</v>
      </c>
      <c r="G221" s="5">
        <v>0</v>
      </c>
      <c r="H221" s="5">
        <v>653</v>
      </c>
      <c r="I221" s="5">
        <v>0</v>
      </c>
      <c r="J221" s="5">
        <v>0</v>
      </c>
      <c r="K221" s="9">
        <f t="shared" si="66"/>
        <v>82644</v>
      </c>
      <c r="L221" s="5"/>
    </row>
    <row r="222" spans="1:12" x14ac:dyDescent="0.25">
      <c r="A222" s="3" t="s">
        <v>273</v>
      </c>
      <c r="B222" s="3" t="s">
        <v>274</v>
      </c>
      <c r="C222" s="5">
        <v>0</v>
      </c>
      <c r="D222" s="5">
        <v>113861</v>
      </c>
      <c r="E222" s="5">
        <v>0</v>
      </c>
      <c r="F222" s="5">
        <v>0</v>
      </c>
      <c r="G222" s="5">
        <v>268282</v>
      </c>
      <c r="H222" s="5">
        <v>0</v>
      </c>
      <c r="I222" s="5">
        <v>0</v>
      </c>
      <c r="J222" s="5">
        <v>0</v>
      </c>
      <c r="K222" s="9">
        <f t="shared" si="66"/>
        <v>382143</v>
      </c>
      <c r="L222" s="5"/>
    </row>
    <row r="223" spans="1:12" x14ac:dyDescent="0.25">
      <c r="A223" s="3" t="s">
        <v>275</v>
      </c>
      <c r="B223" s="3" t="s">
        <v>266</v>
      </c>
      <c r="C223" s="5">
        <v>0</v>
      </c>
      <c r="D223" s="5">
        <v>16676</v>
      </c>
      <c r="E223" s="5">
        <v>0</v>
      </c>
      <c r="F223" s="5">
        <v>243505</v>
      </c>
      <c r="G223" s="5">
        <v>0</v>
      </c>
      <c r="H223" s="5">
        <v>7920</v>
      </c>
      <c r="I223" s="5">
        <v>0</v>
      </c>
      <c r="J223" s="5">
        <v>0</v>
      </c>
      <c r="K223" s="9">
        <f t="shared" si="66"/>
        <v>268101</v>
      </c>
      <c r="L223" s="5"/>
    </row>
    <row r="224" spans="1:12" x14ac:dyDescent="0.25">
      <c r="A224" s="3" t="s">
        <v>276</v>
      </c>
      <c r="B224" s="3" t="s">
        <v>277</v>
      </c>
      <c r="C224" s="5">
        <v>0</v>
      </c>
      <c r="D224" s="5">
        <v>19221</v>
      </c>
      <c r="E224" s="5">
        <v>0</v>
      </c>
      <c r="F224" s="5">
        <v>35058</v>
      </c>
      <c r="G224" s="5">
        <v>32982</v>
      </c>
      <c r="H224" s="5">
        <v>1166</v>
      </c>
      <c r="I224" s="5">
        <v>0</v>
      </c>
      <c r="J224" s="5">
        <v>0</v>
      </c>
      <c r="K224" s="9">
        <f t="shared" si="66"/>
        <v>88427</v>
      </c>
      <c r="L224" s="5"/>
    </row>
    <row r="225" spans="1:12" x14ac:dyDescent="0.25">
      <c r="A225" s="3" t="s">
        <v>278</v>
      </c>
      <c r="B225" s="3" t="s">
        <v>408</v>
      </c>
      <c r="C225" s="5">
        <v>0</v>
      </c>
      <c r="D225" s="5">
        <v>100373</v>
      </c>
      <c r="E225" s="5">
        <v>94893</v>
      </c>
      <c r="F225" s="5">
        <v>0</v>
      </c>
      <c r="G225" s="5">
        <v>0</v>
      </c>
      <c r="H225" s="5">
        <v>7799</v>
      </c>
      <c r="I225" s="5">
        <v>0</v>
      </c>
      <c r="J225" s="5">
        <v>0</v>
      </c>
      <c r="K225" s="9">
        <f t="shared" si="66"/>
        <v>203065</v>
      </c>
      <c r="L225" s="5"/>
    </row>
    <row r="226" spans="1:12" x14ac:dyDescent="0.25">
      <c r="A226" s="3" t="s">
        <v>280</v>
      </c>
      <c r="B226" s="3" t="s">
        <v>409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54767</v>
      </c>
      <c r="I226" s="5">
        <v>0</v>
      </c>
      <c r="J226" s="5">
        <v>0</v>
      </c>
      <c r="K226" s="9">
        <f t="shared" si="66"/>
        <v>54767</v>
      </c>
      <c r="L226" s="5"/>
    </row>
    <row r="227" spans="1:12" x14ac:dyDescent="0.25">
      <c r="A227" s="3" t="s">
        <v>281</v>
      </c>
      <c r="B227" s="3" t="s">
        <v>282</v>
      </c>
      <c r="C227" s="5">
        <v>0</v>
      </c>
      <c r="D227" s="5">
        <v>292811</v>
      </c>
      <c r="E227" s="5">
        <v>0</v>
      </c>
      <c r="F227" s="5">
        <v>0</v>
      </c>
      <c r="G227" s="5">
        <v>563467</v>
      </c>
      <c r="H227" s="5">
        <v>0</v>
      </c>
      <c r="I227" s="5">
        <v>0</v>
      </c>
      <c r="J227" s="5">
        <v>0</v>
      </c>
      <c r="K227" s="9">
        <f t="shared" si="66"/>
        <v>856278</v>
      </c>
      <c r="L227" s="5"/>
    </row>
    <row r="228" spans="1:12" x14ac:dyDescent="0.25">
      <c r="A228" s="3"/>
      <c r="B228" s="6" t="s">
        <v>209</v>
      </c>
      <c r="C228" s="14">
        <f t="shared" ref="C228:J228" si="67">SUBTOTAL(9,C229:C240)</f>
        <v>0</v>
      </c>
      <c r="D228" s="14">
        <f t="shared" si="67"/>
        <v>2783877</v>
      </c>
      <c r="E228" s="14">
        <f t="shared" si="67"/>
        <v>171342</v>
      </c>
      <c r="F228" s="14">
        <f t="shared" si="67"/>
        <v>1277729</v>
      </c>
      <c r="G228" s="14">
        <f t="shared" si="67"/>
        <v>2131777</v>
      </c>
      <c r="H228" s="14">
        <f t="shared" si="67"/>
        <v>1534420</v>
      </c>
      <c r="I228" s="14">
        <f t="shared" si="67"/>
        <v>1838712</v>
      </c>
      <c r="J228" s="14">
        <f t="shared" si="67"/>
        <v>0</v>
      </c>
      <c r="K228" s="12">
        <f>SUBTOTAL(9,K229:K240)</f>
        <v>9737857</v>
      </c>
      <c r="L228" s="5"/>
    </row>
    <row r="229" spans="1:12" x14ac:dyDescent="0.25">
      <c r="A229" s="3" t="s">
        <v>283</v>
      </c>
      <c r="B229" s="3" t="s">
        <v>279</v>
      </c>
      <c r="C229" s="5">
        <v>0</v>
      </c>
      <c r="D229" s="5">
        <v>409662</v>
      </c>
      <c r="E229" s="5">
        <v>65652</v>
      </c>
      <c r="F229" s="5">
        <v>0</v>
      </c>
      <c r="G229" s="5">
        <v>149203</v>
      </c>
      <c r="H229" s="5">
        <v>273055</v>
      </c>
      <c r="I229" s="5">
        <v>0</v>
      </c>
      <c r="J229" s="5">
        <v>0</v>
      </c>
      <c r="K229" s="9">
        <f t="shared" ref="K229:K240" si="68">SUM(C229:J229)</f>
        <v>897572</v>
      </c>
      <c r="L229" s="5"/>
    </row>
    <row r="230" spans="1:12" x14ac:dyDescent="0.25">
      <c r="A230" s="3" t="s">
        <v>284</v>
      </c>
      <c r="B230" s="3" t="s">
        <v>285</v>
      </c>
      <c r="C230" s="5">
        <v>0</v>
      </c>
      <c r="D230" s="5">
        <v>148026</v>
      </c>
      <c r="E230" s="5">
        <v>0</v>
      </c>
      <c r="F230" s="5">
        <v>0</v>
      </c>
      <c r="G230" s="5">
        <v>224977</v>
      </c>
      <c r="H230" s="5">
        <v>0</v>
      </c>
      <c r="I230" s="5">
        <v>0</v>
      </c>
      <c r="J230" s="5">
        <v>0</v>
      </c>
      <c r="K230" s="9">
        <f t="shared" si="68"/>
        <v>373003</v>
      </c>
      <c r="L230" s="5"/>
    </row>
    <row r="231" spans="1:12" x14ac:dyDescent="0.25">
      <c r="A231" s="3" t="s">
        <v>286</v>
      </c>
      <c r="B231" s="3" t="s">
        <v>209</v>
      </c>
      <c r="C231" s="5">
        <v>0</v>
      </c>
      <c r="D231" s="5">
        <v>40611</v>
      </c>
      <c r="E231" s="5">
        <v>0</v>
      </c>
      <c r="F231" s="5">
        <v>191895</v>
      </c>
      <c r="G231" s="5">
        <v>0</v>
      </c>
      <c r="H231" s="5">
        <v>6485</v>
      </c>
      <c r="I231" s="5">
        <v>0</v>
      </c>
      <c r="J231" s="5">
        <v>0</v>
      </c>
      <c r="K231" s="9">
        <f t="shared" si="68"/>
        <v>238991</v>
      </c>
      <c r="L231" s="5"/>
    </row>
    <row r="232" spans="1:12" x14ac:dyDescent="0.25">
      <c r="A232" s="3" t="s">
        <v>287</v>
      </c>
      <c r="B232" s="3" t="s">
        <v>288</v>
      </c>
      <c r="C232" s="5">
        <v>0</v>
      </c>
      <c r="D232" s="5">
        <v>13269</v>
      </c>
      <c r="E232" s="5">
        <v>0</v>
      </c>
      <c r="F232" s="5">
        <v>0</v>
      </c>
      <c r="G232" s="5">
        <v>0</v>
      </c>
      <c r="H232" s="5">
        <v>24340</v>
      </c>
      <c r="I232" s="5">
        <v>0</v>
      </c>
      <c r="J232" s="5">
        <v>0</v>
      </c>
      <c r="K232" s="9">
        <f t="shared" si="68"/>
        <v>37609</v>
      </c>
      <c r="L232" s="5"/>
    </row>
    <row r="233" spans="1:12" x14ac:dyDescent="0.25">
      <c r="A233" s="3" t="s">
        <v>289</v>
      </c>
      <c r="B233" s="3" t="s">
        <v>290</v>
      </c>
      <c r="C233" s="5">
        <v>0</v>
      </c>
      <c r="D233" s="5">
        <v>9392</v>
      </c>
      <c r="E233" s="5">
        <v>0</v>
      </c>
      <c r="F233" s="5">
        <v>0</v>
      </c>
      <c r="G233" s="5">
        <v>0</v>
      </c>
      <c r="H233" s="5">
        <v>37932</v>
      </c>
      <c r="I233" s="5">
        <v>0</v>
      </c>
      <c r="J233" s="5">
        <v>0</v>
      </c>
      <c r="K233" s="9">
        <f t="shared" si="68"/>
        <v>47324</v>
      </c>
      <c r="L233" s="5"/>
    </row>
    <row r="234" spans="1:12" x14ac:dyDescent="0.25">
      <c r="A234" s="3" t="s">
        <v>291</v>
      </c>
      <c r="B234" s="3" t="s">
        <v>292</v>
      </c>
      <c r="C234" s="5">
        <v>0</v>
      </c>
      <c r="D234" s="5">
        <v>151711</v>
      </c>
      <c r="E234" s="5">
        <v>6232</v>
      </c>
      <c r="F234" s="5">
        <v>0</v>
      </c>
      <c r="G234" s="5">
        <v>0</v>
      </c>
      <c r="H234" s="5">
        <v>884733</v>
      </c>
      <c r="I234" s="5">
        <v>0</v>
      </c>
      <c r="J234" s="5">
        <v>0</v>
      </c>
      <c r="K234" s="9">
        <f t="shared" si="68"/>
        <v>1042676</v>
      </c>
      <c r="L234" s="5"/>
    </row>
    <row r="235" spans="1:12" x14ac:dyDescent="0.25">
      <c r="A235" s="3" t="s">
        <v>293</v>
      </c>
      <c r="B235" s="3" t="s">
        <v>292</v>
      </c>
      <c r="C235" s="5">
        <v>0</v>
      </c>
      <c r="D235" s="5">
        <v>769551</v>
      </c>
      <c r="E235" s="5">
        <v>0</v>
      </c>
      <c r="F235" s="5">
        <v>0</v>
      </c>
      <c r="G235" s="5">
        <v>0</v>
      </c>
      <c r="H235" s="5">
        <v>31635</v>
      </c>
      <c r="I235" s="5">
        <v>0</v>
      </c>
      <c r="J235" s="5">
        <v>0</v>
      </c>
      <c r="K235" s="9">
        <f t="shared" si="68"/>
        <v>801186</v>
      </c>
      <c r="L235" s="5"/>
    </row>
    <row r="236" spans="1:12" x14ac:dyDescent="0.25">
      <c r="A236" s="3" t="s">
        <v>294</v>
      </c>
      <c r="B236" s="3" t="s">
        <v>295</v>
      </c>
      <c r="C236" s="5">
        <v>0</v>
      </c>
      <c r="D236" s="5">
        <v>166832</v>
      </c>
      <c r="E236" s="5">
        <v>0</v>
      </c>
      <c r="F236" s="5">
        <v>0</v>
      </c>
      <c r="G236" s="5">
        <v>0</v>
      </c>
      <c r="H236" s="5">
        <v>227942</v>
      </c>
      <c r="I236" s="5">
        <v>0</v>
      </c>
      <c r="J236" s="5">
        <v>0</v>
      </c>
      <c r="K236" s="9">
        <f t="shared" si="68"/>
        <v>394774</v>
      </c>
      <c r="L236" s="5"/>
    </row>
    <row r="237" spans="1:12" x14ac:dyDescent="0.25">
      <c r="A237" s="3" t="s">
        <v>296</v>
      </c>
      <c r="B237" s="3" t="s">
        <v>297</v>
      </c>
      <c r="C237" s="5">
        <v>0</v>
      </c>
      <c r="D237" s="5">
        <v>513398</v>
      </c>
      <c r="E237" s="5">
        <v>0</v>
      </c>
      <c r="F237" s="5">
        <v>0</v>
      </c>
      <c r="G237" s="5">
        <v>1255334</v>
      </c>
      <c r="H237" s="5">
        <v>0</v>
      </c>
      <c r="I237" s="5">
        <v>0</v>
      </c>
      <c r="J237" s="5">
        <v>0</v>
      </c>
      <c r="K237" s="9">
        <f t="shared" si="68"/>
        <v>1768732</v>
      </c>
      <c r="L237" s="5"/>
    </row>
    <row r="238" spans="1:12" x14ac:dyDescent="0.25">
      <c r="A238" s="3" t="s">
        <v>298</v>
      </c>
      <c r="B238" s="3" t="s">
        <v>299</v>
      </c>
      <c r="C238" s="5">
        <v>0</v>
      </c>
      <c r="D238" s="5">
        <v>0</v>
      </c>
      <c r="E238" s="5">
        <v>0</v>
      </c>
      <c r="F238" s="5">
        <v>0</v>
      </c>
      <c r="G238" s="5">
        <v>502263</v>
      </c>
      <c r="H238" s="5">
        <v>0</v>
      </c>
      <c r="I238" s="5">
        <v>1838712</v>
      </c>
      <c r="J238" s="5">
        <v>0</v>
      </c>
      <c r="K238" s="9">
        <f t="shared" si="68"/>
        <v>2340975</v>
      </c>
      <c r="L238" s="5"/>
    </row>
    <row r="239" spans="1:12" x14ac:dyDescent="0.25">
      <c r="A239" s="3" t="s">
        <v>300</v>
      </c>
      <c r="B239" s="3" t="s">
        <v>301</v>
      </c>
      <c r="C239" s="5">
        <v>0</v>
      </c>
      <c r="D239" s="5">
        <v>514311</v>
      </c>
      <c r="E239" s="5">
        <v>99458</v>
      </c>
      <c r="F239" s="5">
        <v>1085834</v>
      </c>
      <c r="G239" s="5">
        <v>0</v>
      </c>
      <c r="H239" s="5">
        <v>30285</v>
      </c>
      <c r="I239" s="5">
        <v>0</v>
      </c>
      <c r="J239" s="5">
        <v>0</v>
      </c>
      <c r="K239" s="9">
        <f t="shared" si="68"/>
        <v>1729888</v>
      </c>
      <c r="L239" s="5"/>
    </row>
    <row r="240" spans="1:12" x14ac:dyDescent="0.25">
      <c r="A240" s="3" t="s">
        <v>302</v>
      </c>
      <c r="B240" s="3" t="s">
        <v>303</v>
      </c>
      <c r="C240" s="5">
        <v>0</v>
      </c>
      <c r="D240" s="5">
        <v>47114</v>
      </c>
      <c r="E240" s="5">
        <v>0</v>
      </c>
      <c r="F240" s="5">
        <v>0</v>
      </c>
      <c r="G240" s="5">
        <v>0</v>
      </c>
      <c r="H240" s="5">
        <v>18013</v>
      </c>
      <c r="I240" s="5">
        <v>0</v>
      </c>
      <c r="J240" s="5">
        <v>0</v>
      </c>
      <c r="K240" s="9">
        <f t="shared" si="68"/>
        <v>65127</v>
      </c>
      <c r="L240" s="5"/>
    </row>
    <row r="241" spans="1:12" x14ac:dyDescent="0.25">
      <c r="A241" s="3"/>
      <c r="B241" s="6" t="s">
        <v>304</v>
      </c>
      <c r="C241" s="14">
        <f t="shared" ref="C241:J241" si="69">SUBTOTAL(9,C242:C248)</f>
        <v>0</v>
      </c>
      <c r="D241" s="14">
        <f t="shared" si="69"/>
        <v>180255</v>
      </c>
      <c r="E241" s="14">
        <f t="shared" si="69"/>
        <v>0</v>
      </c>
      <c r="F241" s="14">
        <f t="shared" si="69"/>
        <v>83889</v>
      </c>
      <c r="G241" s="14">
        <f t="shared" si="69"/>
        <v>99669</v>
      </c>
      <c r="H241" s="14">
        <f t="shared" si="69"/>
        <v>1011778</v>
      </c>
      <c r="I241" s="14">
        <f t="shared" si="69"/>
        <v>0</v>
      </c>
      <c r="J241" s="14">
        <f t="shared" si="69"/>
        <v>0</v>
      </c>
      <c r="K241" s="12">
        <f>SUBTOTAL(9,K242:K248)</f>
        <v>1375591</v>
      </c>
      <c r="L241" s="5"/>
    </row>
    <row r="242" spans="1:12" x14ac:dyDescent="0.25">
      <c r="A242" s="3" t="s">
        <v>305</v>
      </c>
      <c r="B242" s="3" t="s">
        <v>306</v>
      </c>
      <c r="C242" s="5">
        <v>0</v>
      </c>
      <c r="D242" s="5">
        <v>45549</v>
      </c>
      <c r="E242" s="5">
        <v>0</v>
      </c>
      <c r="F242" s="5">
        <v>0</v>
      </c>
      <c r="G242" s="5">
        <v>0</v>
      </c>
      <c r="H242" s="5">
        <v>523715</v>
      </c>
      <c r="I242" s="5">
        <v>0</v>
      </c>
      <c r="J242" s="5">
        <v>0</v>
      </c>
      <c r="K242" s="9">
        <f t="shared" ref="K242:K248" si="70">SUM(C242:J242)</f>
        <v>569264</v>
      </c>
      <c r="L242" s="5"/>
    </row>
    <row r="243" spans="1:12" x14ac:dyDescent="0.25">
      <c r="A243" s="3" t="s">
        <v>307</v>
      </c>
      <c r="B243" s="3" t="s">
        <v>179</v>
      </c>
      <c r="C243" s="5">
        <v>0</v>
      </c>
      <c r="D243" s="5">
        <v>23659</v>
      </c>
      <c r="E243" s="5">
        <v>0</v>
      </c>
      <c r="F243" s="5">
        <v>83889</v>
      </c>
      <c r="G243" s="5">
        <v>0</v>
      </c>
      <c r="H243" s="5">
        <v>2423</v>
      </c>
      <c r="I243" s="5">
        <v>0</v>
      </c>
      <c r="J243" s="5">
        <v>0</v>
      </c>
      <c r="K243" s="9">
        <f t="shared" si="70"/>
        <v>109971</v>
      </c>
      <c r="L243" s="5"/>
    </row>
    <row r="244" spans="1:12" x14ac:dyDescent="0.25">
      <c r="A244" s="3" t="s">
        <v>308</v>
      </c>
      <c r="B244" s="3" t="s">
        <v>309</v>
      </c>
      <c r="C244" s="5">
        <v>0</v>
      </c>
      <c r="D244" s="5">
        <v>61594</v>
      </c>
      <c r="E244" s="5">
        <v>0</v>
      </c>
      <c r="F244" s="5">
        <v>0</v>
      </c>
      <c r="G244" s="5">
        <v>99669</v>
      </c>
      <c r="H244" s="5">
        <v>0</v>
      </c>
      <c r="I244" s="5">
        <v>0</v>
      </c>
      <c r="J244" s="5">
        <v>0</v>
      </c>
      <c r="K244" s="9">
        <f t="shared" si="70"/>
        <v>161263</v>
      </c>
      <c r="L244" s="5"/>
    </row>
    <row r="245" spans="1:12" x14ac:dyDescent="0.25">
      <c r="A245" s="3" t="s">
        <v>310</v>
      </c>
      <c r="B245" s="3" t="s">
        <v>311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337399</v>
      </c>
      <c r="I245" s="5">
        <v>0</v>
      </c>
      <c r="J245" s="5">
        <v>0</v>
      </c>
      <c r="K245" s="9">
        <f t="shared" si="70"/>
        <v>337399</v>
      </c>
      <c r="L245" s="5"/>
    </row>
    <row r="246" spans="1:12" x14ac:dyDescent="0.25">
      <c r="A246" s="3" t="s">
        <v>312</v>
      </c>
      <c r="B246" s="3" t="s">
        <v>313</v>
      </c>
      <c r="C246" s="5">
        <v>0</v>
      </c>
      <c r="D246" s="5">
        <v>31310</v>
      </c>
      <c r="E246" s="5">
        <v>0</v>
      </c>
      <c r="F246" s="5">
        <v>0</v>
      </c>
      <c r="G246" s="5">
        <v>0</v>
      </c>
      <c r="H246" s="5">
        <v>478</v>
      </c>
      <c r="I246" s="5">
        <v>0</v>
      </c>
      <c r="J246" s="5">
        <v>0</v>
      </c>
      <c r="K246" s="9">
        <f t="shared" si="70"/>
        <v>31788</v>
      </c>
      <c r="L246" s="5"/>
    </row>
    <row r="247" spans="1:12" x14ac:dyDescent="0.25">
      <c r="A247" s="3" t="s">
        <v>197</v>
      </c>
      <c r="B247" s="3" t="s">
        <v>198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147545</v>
      </c>
      <c r="I247" s="5">
        <v>0</v>
      </c>
      <c r="J247" s="5">
        <v>0</v>
      </c>
      <c r="K247" s="9">
        <f t="shared" si="70"/>
        <v>147545</v>
      </c>
      <c r="L247" s="5"/>
    </row>
    <row r="248" spans="1:12" x14ac:dyDescent="0.25">
      <c r="A248" s="3" t="s">
        <v>199</v>
      </c>
      <c r="B248" s="3" t="s">
        <v>200</v>
      </c>
      <c r="C248" s="5">
        <v>0</v>
      </c>
      <c r="D248" s="5">
        <v>18143</v>
      </c>
      <c r="E248" s="5">
        <v>0</v>
      </c>
      <c r="F248" s="5">
        <v>0</v>
      </c>
      <c r="G248" s="5">
        <v>0</v>
      </c>
      <c r="H248" s="5">
        <v>218</v>
      </c>
      <c r="I248" s="5">
        <v>0</v>
      </c>
      <c r="J248" s="5">
        <v>0</v>
      </c>
      <c r="K248" s="9">
        <f t="shared" si="70"/>
        <v>18361</v>
      </c>
      <c r="L248" s="5"/>
    </row>
    <row r="249" spans="1:12" x14ac:dyDescent="0.25">
      <c r="A249" s="3"/>
      <c r="B249" s="6" t="s">
        <v>314</v>
      </c>
      <c r="C249" s="14">
        <f t="shared" ref="C249:J249" si="71">SUBTOTAL(9,C250:C254)</f>
        <v>0</v>
      </c>
      <c r="D249" s="14">
        <f t="shared" si="71"/>
        <v>30912</v>
      </c>
      <c r="E249" s="14">
        <f t="shared" si="71"/>
        <v>351</v>
      </c>
      <c r="F249" s="14">
        <f t="shared" si="71"/>
        <v>0</v>
      </c>
      <c r="G249" s="14">
        <f t="shared" si="71"/>
        <v>0</v>
      </c>
      <c r="H249" s="14">
        <f t="shared" si="71"/>
        <v>142830</v>
      </c>
      <c r="I249" s="14">
        <f t="shared" si="71"/>
        <v>0</v>
      </c>
      <c r="J249" s="14">
        <f t="shared" si="71"/>
        <v>0</v>
      </c>
      <c r="K249" s="12">
        <f>SUBTOTAL(9,K250:K254)</f>
        <v>174093</v>
      </c>
      <c r="L249" s="5"/>
    </row>
    <row r="250" spans="1:12" x14ac:dyDescent="0.25">
      <c r="A250" s="3" t="s">
        <v>315</v>
      </c>
      <c r="B250" s="3" t="s">
        <v>316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77012</v>
      </c>
      <c r="I250" s="5">
        <v>0</v>
      </c>
      <c r="J250" s="5">
        <v>0</v>
      </c>
      <c r="K250" s="9">
        <f t="shared" ref="K250:K254" si="72">SUM(C250:J250)</f>
        <v>77012</v>
      </c>
      <c r="L250" s="5"/>
    </row>
    <row r="251" spans="1:12" x14ac:dyDescent="0.25">
      <c r="A251" s="3" t="s">
        <v>317</v>
      </c>
      <c r="B251" s="3" t="s">
        <v>318</v>
      </c>
      <c r="C251" s="5">
        <v>0</v>
      </c>
      <c r="D251" s="5">
        <v>13774</v>
      </c>
      <c r="E251" s="5">
        <v>0</v>
      </c>
      <c r="F251" s="5">
        <v>0</v>
      </c>
      <c r="G251" s="5">
        <v>0</v>
      </c>
      <c r="H251" s="5">
        <v>348</v>
      </c>
      <c r="I251" s="5">
        <v>0</v>
      </c>
      <c r="J251" s="5">
        <v>0</v>
      </c>
      <c r="K251" s="9">
        <f t="shared" si="72"/>
        <v>14122</v>
      </c>
      <c r="L251" s="5"/>
    </row>
    <row r="252" spans="1:12" x14ac:dyDescent="0.25">
      <c r="A252" s="3" t="s">
        <v>319</v>
      </c>
      <c r="B252" s="3" t="s">
        <v>320</v>
      </c>
      <c r="C252" s="5">
        <v>0</v>
      </c>
      <c r="D252" s="5">
        <v>488</v>
      </c>
      <c r="E252" s="5">
        <v>0</v>
      </c>
      <c r="F252" s="5">
        <v>0</v>
      </c>
      <c r="G252" s="5">
        <v>0</v>
      </c>
      <c r="H252" s="5">
        <v>1330</v>
      </c>
      <c r="I252" s="5">
        <v>0</v>
      </c>
      <c r="J252" s="5">
        <v>0</v>
      </c>
      <c r="K252" s="9">
        <f t="shared" si="72"/>
        <v>1818</v>
      </c>
      <c r="L252" s="5"/>
    </row>
    <row r="253" spans="1:12" x14ac:dyDescent="0.25">
      <c r="A253" s="3" t="s">
        <v>321</v>
      </c>
      <c r="B253" s="3" t="s">
        <v>322</v>
      </c>
      <c r="C253" s="5">
        <v>0</v>
      </c>
      <c r="D253" s="5">
        <v>10618</v>
      </c>
      <c r="E253" s="5">
        <v>0</v>
      </c>
      <c r="F253" s="5">
        <v>0</v>
      </c>
      <c r="G253" s="5">
        <v>0</v>
      </c>
      <c r="H253" s="5">
        <v>10841</v>
      </c>
      <c r="I253" s="5">
        <v>0</v>
      </c>
      <c r="J253" s="5">
        <v>0</v>
      </c>
      <c r="K253" s="9">
        <f t="shared" si="72"/>
        <v>21459</v>
      </c>
      <c r="L253" s="5"/>
    </row>
    <row r="254" spans="1:12" x14ac:dyDescent="0.25">
      <c r="A254" s="3" t="s">
        <v>323</v>
      </c>
      <c r="B254" s="3" t="s">
        <v>320</v>
      </c>
      <c r="C254" s="5">
        <v>0</v>
      </c>
      <c r="D254" s="5">
        <v>6032</v>
      </c>
      <c r="E254" s="5">
        <v>351</v>
      </c>
      <c r="F254" s="5">
        <v>0</v>
      </c>
      <c r="G254" s="5">
        <v>0</v>
      </c>
      <c r="H254" s="5">
        <v>53299</v>
      </c>
      <c r="I254" s="5">
        <v>0</v>
      </c>
      <c r="J254" s="5">
        <v>0</v>
      </c>
      <c r="K254" s="9">
        <f t="shared" si="72"/>
        <v>59682</v>
      </c>
      <c r="L254" s="5"/>
    </row>
    <row r="255" spans="1:12" x14ac:dyDescent="0.25">
      <c r="A255" s="3"/>
      <c r="B255" s="6" t="s">
        <v>324</v>
      </c>
      <c r="C255" s="14">
        <f t="shared" ref="C255:J255" si="73">SUBTOTAL(9,C256:C260)</f>
        <v>0</v>
      </c>
      <c r="D255" s="14">
        <f t="shared" si="73"/>
        <v>17460</v>
      </c>
      <c r="E255" s="14">
        <f t="shared" si="73"/>
        <v>252</v>
      </c>
      <c r="F255" s="14">
        <f t="shared" si="73"/>
        <v>10759</v>
      </c>
      <c r="G255" s="14">
        <f t="shared" si="73"/>
        <v>12314</v>
      </c>
      <c r="H255" s="14">
        <f t="shared" si="73"/>
        <v>2360</v>
      </c>
      <c r="I255" s="14">
        <f t="shared" si="73"/>
        <v>0</v>
      </c>
      <c r="J255" s="14">
        <f t="shared" si="73"/>
        <v>0</v>
      </c>
      <c r="K255" s="12">
        <f>SUBTOTAL(9,K256:K260)</f>
        <v>43145</v>
      </c>
      <c r="L255" s="5"/>
    </row>
    <row r="256" spans="1:12" x14ac:dyDescent="0.25">
      <c r="A256" s="3" t="s">
        <v>325</v>
      </c>
      <c r="B256" s="3" t="s">
        <v>265</v>
      </c>
      <c r="C256" s="5">
        <v>0</v>
      </c>
      <c r="D256" s="5">
        <v>4122</v>
      </c>
      <c r="E256" s="5">
        <v>252</v>
      </c>
      <c r="F256" s="5">
        <v>10759</v>
      </c>
      <c r="G256" s="5">
        <v>0</v>
      </c>
      <c r="H256" s="5">
        <v>720</v>
      </c>
      <c r="I256" s="5">
        <v>0</v>
      </c>
      <c r="J256" s="5">
        <v>0</v>
      </c>
      <c r="K256" s="9">
        <f t="shared" ref="K256:K260" si="74">SUM(C256:J256)</f>
        <v>15853</v>
      </c>
      <c r="L256" s="5"/>
    </row>
    <row r="257" spans="1:12" x14ac:dyDescent="0.25">
      <c r="A257" s="3" t="s">
        <v>326</v>
      </c>
      <c r="B257" s="3" t="s">
        <v>327</v>
      </c>
      <c r="C257" s="5">
        <v>0</v>
      </c>
      <c r="D257" s="5">
        <v>6293</v>
      </c>
      <c r="E257" s="5">
        <v>0</v>
      </c>
      <c r="F257" s="5">
        <v>0</v>
      </c>
      <c r="G257" s="5">
        <v>12314</v>
      </c>
      <c r="H257" s="5">
        <v>0</v>
      </c>
      <c r="I257" s="5">
        <v>0</v>
      </c>
      <c r="J257" s="5">
        <v>0</v>
      </c>
      <c r="K257" s="9">
        <f t="shared" si="74"/>
        <v>18607</v>
      </c>
      <c r="L257" s="5"/>
    </row>
    <row r="258" spans="1:12" x14ac:dyDescent="0.25">
      <c r="A258" s="3" t="s">
        <v>328</v>
      </c>
      <c r="B258" s="3" t="s">
        <v>329</v>
      </c>
      <c r="C258" s="5">
        <v>0</v>
      </c>
      <c r="D258" s="5">
        <v>3965</v>
      </c>
      <c r="E258" s="5">
        <v>0</v>
      </c>
      <c r="F258" s="5">
        <v>0</v>
      </c>
      <c r="G258" s="5">
        <v>0</v>
      </c>
      <c r="H258" s="5">
        <v>1161</v>
      </c>
      <c r="I258" s="5">
        <v>0</v>
      </c>
      <c r="J258" s="5">
        <v>0</v>
      </c>
      <c r="K258" s="9">
        <f t="shared" si="74"/>
        <v>5126</v>
      </c>
      <c r="L258" s="5"/>
    </row>
    <row r="259" spans="1:12" x14ac:dyDescent="0.25">
      <c r="A259" s="3" t="s">
        <v>330</v>
      </c>
      <c r="B259" s="3" t="s">
        <v>331</v>
      </c>
      <c r="C259" s="5">
        <v>0</v>
      </c>
      <c r="D259" s="5">
        <v>2800</v>
      </c>
      <c r="E259" s="5">
        <v>0</v>
      </c>
      <c r="F259" s="5">
        <v>0</v>
      </c>
      <c r="G259" s="5">
        <v>0</v>
      </c>
      <c r="H259" s="5">
        <v>376</v>
      </c>
      <c r="I259" s="5">
        <v>0</v>
      </c>
      <c r="J259" s="5">
        <v>0</v>
      </c>
      <c r="K259" s="9">
        <f t="shared" si="74"/>
        <v>3176</v>
      </c>
      <c r="L259" s="5"/>
    </row>
    <row r="260" spans="1:12" x14ac:dyDescent="0.25">
      <c r="A260" s="3" t="s">
        <v>332</v>
      </c>
      <c r="B260" s="3" t="s">
        <v>333</v>
      </c>
      <c r="C260" s="5">
        <v>0</v>
      </c>
      <c r="D260" s="5">
        <v>280</v>
      </c>
      <c r="E260" s="5">
        <v>0</v>
      </c>
      <c r="F260" s="5">
        <v>0</v>
      </c>
      <c r="G260" s="5">
        <v>0</v>
      </c>
      <c r="H260" s="5">
        <v>103</v>
      </c>
      <c r="I260" s="5">
        <v>0</v>
      </c>
      <c r="J260" s="5">
        <v>0</v>
      </c>
      <c r="K260" s="9">
        <f t="shared" si="74"/>
        <v>383</v>
      </c>
      <c r="L260" s="5"/>
    </row>
    <row r="261" spans="1:12" x14ac:dyDescent="0.25">
      <c r="A261" s="3"/>
      <c r="B261" s="7" t="s">
        <v>334</v>
      </c>
      <c r="C261" s="17">
        <f t="shared" ref="C261:J261" si="75">SUBTOTAL(9,C262:C264)</f>
        <v>0</v>
      </c>
      <c r="D261" s="17">
        <f t="shared" si="75"/>
        <v>112668</v>
      </c>
      <c r="E261" s="17">
        <f t="shared" si="75"/>
        <v>83029</v>
      </c>
      <c r="F261" s="17">
        <f t="shared" si="75"/>
        <v>0</v>
      </c>
      <c r="G261" s="17">
        <f t="shared" si="75"/>
        <v>0</v>
      </c>
      <c r="H261" s="17">
        <f t="shared" si="75"/>
        <v>0</v>
      </c>
      <c r="I261" s="17">
        <f t="shared" si="75"/>
        <v>7060</v>
      </c>
      <c r="J261" s="17">
        <f t="shared" si="75"/>
        <v>0</v>
      </c>
      <c r="K261" s="18">
        <f>SUBTOTAL(9,K262:K264)</f>
        <v>202757</v>
      </c>
      <c r="L261" s="5"/>
    </row>
    <row r="262" spans="1:12" x14ac:dyDescent="0.25">
      <c r="A262" s="3" t="s">
        <v>335</v>
      </c>
      <c r="B262" s="3" t="s">
        <v>112</v>
      </c>
      <c r="C262" s="5">
        <v>0</v>
      </c>
      <c r="D262" s="5">
        <v>111108</v>
      </c>
      <c r="E262" s="5">
        <v>81681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9">
        <f t="shared" ref="K262:K264" si="76">SUM(C262:J262)</f>
        <v>192789</v>
      </c>
      <c r="L262" s="5"/>
    </row>
    <row r="263" spans="1:12" x14ac:dyDescent="0.25">
      <c r="A263" s="3" t="s">
        <v>231</v>
      </c>
      <c r="B263" s="3" t="s">
        <v>232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7060</v>
      </c>
      <c r="J263" s="5">
        <v>0</v>
      </c>
      <c r="K263" s="9">
        <f t="shared" si="76"/>
        <v>7060</v>
      </c>
      <c r="L263" s="5"/>
    </row>
    <row r="264" spans="1:12" x14ac:dyDescent="0.25">
      <c r="A264" s="3" t="s">
        <v>336</v>
      </c>
      <c r="B264" s="3" t="s">
        <v>337</v>
      </c>
      <c r="C264" s="5">
        <v>0</v>
      </c>
      <c r="D264" s="5">
        <v>1560</v>
      </c>
      <c r="E264" s="5">
        <v>1348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9">
        <f t="shared" si="76"/>
        <v>2908</v>
      </c>
      <c r="L264" s="5"/>
    </row>
    <row r="265" spans="1:12" x14ac:dyDescent="0.25">
      <c r="A265" s="3"/>
      <c r="B265" s="7" t="s">
        <v>338</v>
      </c>
      <c r="C265" s="17">
        <f>SUBTOTAL(9,C266:C326)</f>
        <v>0</v>
      </c>
      <c r="D265" s="17">
        <f t="shared" ref="D265:K265" si="77">SUBTOTAL(9,D266:D326)</f>
        <v>1320718</v>
      </c>
      <c r="E265" s="17">
        <f t="shared" si="77"/>
        <v>262176</v>
      </c>
      <c r="F265" s="17">
        <f t="shared" si="77"/>
        <v>1010773</v>
      </c>
      <c r="G265" s="17">
        <f t="shared" si="77"/>
        <v>1467379</v>
      </c>
      <c r="H265" s="17">
        <f t="shared" si="77"/>
        <v>801495</v>
      </c>
      <c r="I265" s="17">
        <f t="shared" si="77"/>
        <v>843674</v>
      </c>
      <c r="J265" s="17">
        <f t="shared" si="77"/>
        <v>1489</v>
      </c>
      <c r="K265" s="18">
        <f t="shared" si="77"/>
        <v>5707704</v>
      </c>
      <c r="L265" s="5"/>
    </row>
    <row r="266" spans="1:12" x14ac:dyDescent="0.25">
      <c r="A266" s="3"/>
      <c r="B266" s="6" t="s">
        <v>243</v>
      </c>
      <c r="C266" s="14">
        <f t="shared" ref="C266:J266" si="78">SUBTOTAL(9,C267:C274)</f>
        <v>0</v>
      </c>
      <c r="D266" s="14">
        <f t="shared" si="78"/>
        <v>4287</v>
      </c>
      <c r="E266" s="14">
        <f t="shared" si="78"/>
        <v>1870</v>
      </c>
      <c r="F266" s="14">
        <f t="shared" si="78"/>
        <v>83241</v>
      </c>
      <c r="G266" s="14">
        <f t="shared" si="78"/>
        <v>64606</v>
      </c>
      <c r="H266" s="14">
        <f t="shared" si="78"/>
        <v>0</v>
      </c>
      <c r="I266" s="14">
        <f t="shared" si="78"/>
        <v>176385</v>
      </c>
      <c r="J266" s="14">
        <f t="shared" si="78"/>
        <v>0</v>
      </c>
      <c r="K266" s="12">
        <f>SUBTOTAL(9,K267:K274)</f>
        <v>330389</v>
      </c>
      <c r="L266" s="5"/>
    </row>
    <row r="267" spans="1:12" x14ac:dyDescent="0.25">
      <c r="A267" s="3" t="s">
        <v>249</v>
      </c>
      <c r="B267" s="3" t="s">
        <v>250</v>
      </c>
      <c r="C267" s="5">
        <v>0</v>
      </c>
      <c r="D267" s="5">
        <v>2041</v>
      </c>
      <c r="E267" s="5">
        <v>951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9">
        <f t="shared" ref="K267:K274" si="79">SUM(C267:J267)</f>
        <v>2992</v>
      </c>
      <c r="L267" s="5"/>
    </row>
    <row r="268" spans="1:12" x14ac:dyDescent="0.25">
      <c r="A268" s="3" t="s">
        <v>339</v>
      </c>
      <c r="B268" s="3" t="s">
        <v>340</v>
      </c>
      <c r="C268" s="5">
        <v>0</v>
      </c>
      <c r="D268" s="5">
        <v>1030</v>
      </c>
      <c r="E268" s="5">
        <v>456</v>
      </c>
      <c r="F268" s="5">
        <v>0</v>
      </c>
      <c r="G268" s="5">
        <v>0</v>
      </c>
      <c r="H268" s="5">
        <v>0</v>
      </c>
      <c r="I268" s="5">
        <v>9905</v>
      </c>
      <c r="J268" s="5">
        <v>0</v>
      </c>
      <c r="K268" s="9">
        <f t="shared" si="79"/>
        <v>11391</v>
      </c>
      <c r="L268" s="5"/>
    </row>
    <row r="269" spans="1:12" x14ac:dyDescent="0.25">
      <c r="A269" s="3" t="s">
        <v>341</v>
      </c>
      <c r="B269" s="3" t="s">
        <v>342</v>
      </c>
      <c r="C269" s="5">
        <v>0</v>
      </c>
      <c r="D269" s="5">
        <v>1216</v>
      </c>
      <c r="E269" s="5">
        <v>463</v>
      </c>
      <c r="F269" s="5">
        <v>0</v>
      </c>
      <c r="G269" s="5">
        <v>0</v>
      </c>
      <c r="H269" s="5">
        <v>0</v>
      </c>
      <c r="I269" s="5">
        <v>103420</v>
      </c>
      <c r="J269" s="5">
        <v>0</v>
      </c>
      <c r="K269" s="9">
        <f t="shared" si="79"/>
        <v>105099</v>
      </c>
      <c r="L269" s="5"/>
    </row>
    <row r="270" spans="1:12" x14ac:dyDescent="0.25">
      <c r="A270" s="3" t="s">
        <v>343</v>
      </c>
      <c r="B270" s="3" t="s">
        <v>344</v>
      </c>
      <c r="C270" s="5">
        <v>0</v>
      </c>
      <c r="D270" s="5">
        <v>0</v>
      </c>
      <c r="E270" s="5">
        <v>0</v>
      </c>
      <c r="F270" s="5">
        <v>0</v>
      </c>
      <c r="G270" s="5">
        <v>5795</v>
      </c>
      <c r="H270" s="5">
        <v>0</v>
      </c>
      <c r="I270" s="5">
        <v>2278</v>
      </c>
      <c r="J270" s="5">
        <v>0</v>
      </c>
      <c r="K270" s="9">
        <f t="shared" si="79"/>
        <v>8073</v>
      </c>
      <c r="L270" s="5"/>
    </row>
    <row r="271" spans="1:12" x14ac:dyDescent="0.25">
      <c r="A271" s="3" t="s">
        <v>345</v>
      </c>
      <c r="B271" s="3" t="s">
        <v>346</v>
      </c>
      <c r="C271" s="5">
        <v>0</v>
      </c>
      <c r="D271" s="5">
        <v>0</v>
      </c>
      <c r="E271" s="5">
        <v>0</v>
      </c>
      <c r="F271" s="5">
        <v>0</v>
      </c>
      <c r="G271" s="5">
        <v>58811</v>
      </c>
      <c r="H271" s="5">
        <v>0</v>
      </c>
      <c r="I271" s="5">
        <v>19276</v>
      </c>
      <c r="J271" s="5">
        <v>0</v>
      </c>
      <c r="K271" s="9">
        <f t="shared" si="79"/>
        <v>78087</v>
      </c>
      <c r="L271" s="5"/>
    </row>
    <row r="272" spans="1:12" x14ac:dyDescent="0.25">
      <c r="A272" s="3" t="s">
        <v>347</v>
      </c>
      <c r="B272" s="3" t="s">
        <v>348</v>
      </c>
      <c r="C272" s="5">
        <v>0</v>
      </c>
      <c r="D272" s="5">
        <v>0</v>
      </c>
      <c r="E272" s="5">
        <v>0</v>
      </c>
      <c r="F272" s="5">
        <v>8477</v>
      </c>
      <c r="G272" s="5">
        <v>0</v>
      </c>
      <c r="H272" s="5">
        <v>0</v>
      </c>
      <c r="I272" s="5">
        <v>3947</v>
      </c>
      <c r="J272" s="5">
        <v>0</v>
      </c>
      <c r="K272" s="9">
        <f t="shared" si="79"/>
        <v>12424</v>
      </c>
      <c r="L272" s="5"/>
    </row>
    <row r="273" spans="1:12" x14ac:dyDescent="0.25">
      <c r="A273" s="3" t="s">
        <v>349</v>
      </c>
      <c r="B273" s="3" t="s">
        <v>350</v>
      </c>
      <c r="C273" s="5">
        <v>0</v>
      </c>
      <c r="D273" s="5">
        <v>0</v>
      </c>
      <c r="E273" s="5">
        <v>0</v>
      </c>
      <c r="F273" s="5">
        <v>74764</v>
      </c>
      <c r="G273" s="5">
        <v>0</v>
      </c>
      <c r="H273" s="5">
        <v>0</v>
      </c>
      <c r="I273" s="5">
        <v>34457</v>
      </c>
      <c r="J273" s="5">
        <v>0</v>
      </c>
      <c r="K273" s="9">
        <f t="shared" si="79"/>
        <v>109221</v>
      </c>
      <c r="L273" s="5"/>
    </row>
    <row r="274" spans="1:12" x14ac:dyDescent="0.25">
      <c r="A274" s="3" t="s">
        <v>351</v>
      </c>
      <c r="B274" s="3" t="s">
        <v>248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3102</v>
      </c>
      <c r="J274" s="5">
        <v>0</v>
      </c>
      <c r="K274" s="9">
        <f t="shared" si="79"/>
        <v>3102</v>
      </c>
      <c r="L274" s="5"/>
    </row>
    <row r="275" spans="1:12" x14ac:dyDescent="0.25">
      <c r="A275" s="3"/>
      <c r="B275" s="6" t="s">
        <v>352</v>
      </c>
      <c r="C275" s="14">
        <f t="shared" ref="C275:J275" si="80">SUBTOTAL(9,C276:C281)</f>
        <v>0</v>
      </c>
      <c r="D275" s="14">
        <f t="shared" si="80"/>
        <v>102296</v>
      </c>
      <c r="E275" s="14">
        <f t="shared" si="80"/>
        <v>1919</v>
      </c>
      <c r="F275" s="14">
        <f t="shared" si="80"/>
        <v>47365</v>
      </c>
      <c r="G275" s="14">
        <f t="shared" si="80"/>
        <v>34961</v>
      </c>
      <c r="H275" s="14">
        <f t="shared" si="80"/>
        <v>15221</v>
      </c>
      <c r="I275" s="14">
        <f t="shared" si="80"/>
        <v>0</v>
      </c>
      <c r="J275" s="14">
        <f t="shared" si="80"/>
        <v>0</v>
      </c>
      <c r="K275" s="12">
        <f>SUBTOTAL(9,K276:K281)</f>
        <v>201762</v>
      </c>
      <c r="L275" s="5"/>
    </row>
    <row r="276" spans="1:12" x14ac:dyDescent="0.25">
      <c r="A276" s="3" t="s">
        <v>252</v>
      </c>
      <c r="B276" s="3" t="s">
        <v>253</v>
      </c>
      <c r="C276" s="5">
        <v>0</v>
      </c>
      <c r="D276" s="5">
        <v>782</v>
      </c>
      <c r="E276" s="5">
        <v>771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9">
        <f t="shared" ref="K276:K290" si="81">SUM(C276:J276)</f>
        <v>1553</v>
      </c>
      <c r="L276" s="5"/>
    </row>
    <row r="277" spans="1:12" x14ac:dyDescent="0.25">
      <c r="A277" s="3" t="s">
        <v>254</v>
      </c>
      <c r="B277" s="3" t="s">
        <v>255</v>
      </c>
      <c r="C277" s="5">
        <v>0</v>
      </c>
      <c r="D277" s="5">
        <v>1793</v>
      </c>
      <c r="E277" s="5">
        <v>0</v>
      </c>
      <c r="F277" s="5">
        <v>8680</v>
      </c>
      <c r="G277" s="5">
        <v>0</v>
      </c>
      <c r="H277" s="5">
        <v>77</v>
      </c>
      <c r="I277" s="5">
        <v>0</v>
      </c>
      <c r="J277" s="5">
        <v>0</v>
      </c>
      <c r="K277" s="9">
        <f t="shared" si="81"/>
        <v>10550</v>
      </c>
      <c r="L277" s="5"/>
    </row>
    <row r="278" spans="1:12" x14ac:dyDescent="0.25">
      <c r="A278" s="3" t="s">
        <v>260</v>
      </c>
      <c r="B278" s="3" t="s">
        <v>261</v>
      </c>
      <c r="C278" s="5">
        <v>0</v>
      </c>
      <c r="D278" s="5">
        <v>77595</v>
      </c>
      <c r="E278" s="5">
        <v>1148</v>
      </c>
      <c r="F278" s="5">
        <v>0</v>
      </c>
      <c r="G278" s="5">
        <v>0</v>
      </c>
      <c r="H278" s="5">
        <v>14180</v>
      </c>
      <c r="I278" s="5">
        <v>0</v>
      </c>
      <c r="J278" s="5">
        <v>0</v>
      </c>
      <c r="K278" s="9">
        <f t="shared" si="81"/>
        <v>92923</v>
      </c>
      <c r="L278" s="5"/>
    </row>
    <row r="279" spans="1:12" x14ac:dyDescent="0.25">
      <c r="A279" s="3" t="s">
        <v>353</v>
      </c>
      <c r="B279" s="3" t="s">
        <v>251</v>
      </c>
      <c r="C279" s="5">
        <v>0</v>
      </c>
      <c r="D279" s="5">
        <v>5733</v>
      </c>
      <c r="E279" s="5">
        <v>0</v>
      </c>
      <c r="F279" s="5">
        <v>38685</v>
      </c>
      <c r="G279" s="5">
        <v>0</v>
      </c>
      <c r="H279" s="5">
        <v>964</v>
      </c>
      <c r="I279" s="5">
        <v>0</v>
      </c>
      <c r="J279" s="5">
        <v>0</v>
      </c>
      <c r="K279" s="9">
        <f t="shared" si="81"/>
        <v>45382</v>
      </c>
      <c r="L279" s="5"/>
    </row>
    <row r="280" spans="1:12" x14ac:dyDescent="0.25">
      <c r="A280" s="3" t="s">
        <v>256</v>
      </c>
      <c r="B280" s="3" t="s">
        <v>257</v>
      </c>
      <c r="C280" s="5">
        <v>0</v>
      </c>
      <c r="D280" s="5">
        <v>14969</v>
      </c>
      <c r="E280" s="5">
        <v>0</v>
      </c>
      <c r="F280" s="5">
        <v>0</v>
      </c>
      <c r="G280" s="5">
        <v>34794</v>
      </c>
      <c r="H280" s="5">
        <v>0</v>
      </c>
      <c r="I280" s="5">
        <v>0</v>
      </c>
      <c r="J280" s="5">
        <v>0</v>
      </c>
      <c r="K280" s="9">
        <f t="shared" si="81"/>
        <v>49763</v>
      </c>
      <c r="L280" s="5"/>
    </row>
    <row r="281" spans="1:12" x14ac:dyDescent="0.25">
      <c r="A281" s="3" t="s">
        <v>258</v>
      </c>
      <c r="B281" s="3" t="s">
        <v>259</v>
      </c>
      <c r="C281" s="5">
        <v>0</v>
      </c>
      <c r="D281" s="5">
        <v>1424</v>
      </c>
      <c r="E281" s="5">
        <v>0</v>
      </c>
      <c r="F281" s="5">
        <v>0</v>
      </c>
      <c r="G281" s="5">
        <v>167</v>
      </c>
      <c r="H281" s="5">
        <v>0</v>
      </c>
      <c r="I281" s="5">
        <v>0</v>
      </c>
      <c r="J281" s="5">
        <v>0</v>
      </c>
      <c r="K281" s="9">
        <f t="shared" si="81"/>
        <v>1591</v>
      </c>
      <c r="L281" s="5"/>
    </row>
    <row r="282" spans="1:12" x14ac:dyDescent="0.25">
      <c r="A282" s="3"/>
      <c r="B282" s="6" t="s">
        <v>354</v>
      </c>
      <c r="C282" s="14">
        <f t="shared" ref="C282:J282" si="82">SUBTOTAL(9,C283:C290)</f>
        <v>0</v>
      </c>
      <c r="D282" s="14">
        <f t="shared" si="82"/>
        <v>337687</v>
      </c>
      <c r="E282" s="14">
        <f t="shared" si="82"/>
        <v>91826</v>
      </c>
      <c r="F282" s="14">
        <f t="shared" si="82"/>
        <v>323009</v>
      </c>
      <c r="G282" s="14">
        <f t="shared" si="82"/>
        <v>396991</v>
      </c>
      <c r="H282" s="14">
        <f t="shared" si="82"/>
        <v>56167</v>
      </c>
      <c r="I282" s="14">
        <f t="shared" si="82"/>
        <v>22074</v>
      </c>
      <c r="J282" s="14">
        <f t="shared" si="82"/>
        <v>0</v>
      </c>
      <c r="K282" s="12">
        <f>SUBTOTAL(9,K283:K290)</f>
        <v>1227754</v>
      </c>
      <c r="L282" s="5"/>
    </row>
    <row r="283" spans="1:12" x14ac:dyDescent="0.25">
      <c r="A283" s="3" t="s">
        <v>355</v>
      </c>
      <c r="B283" s="3" t="s">
        <v>356</v>
      </c>
      <c r="C283" s="5">
        <v>0</v>
      </c>
      <c r="D283" s="5">
        <v>3653</v>
      </c>
      <c r="E283" s="5">
        <v>0</v>
      </c>
      <c r="F283" s="5">
        <v>0</v>
      </c>
      <c r="G283" s="5">
        <v>0</v>
      </c>
      <c r="H283" s="5">
        <v>1718</v>
      </c>
      <c r="I283" s="5">
        <v>6384</v>
      </c>
      <c r="J283" s="5">
        <v>0</v>
      </c>
      <c r="K283" s="9">
        <f t="shared" si="81"/>
        <v>11755</v>
      </c>
      <c r="L283" s="5"/>
    </row>
    <row r="284" spans="1:12" x14ac:dyDescent="0.25">
      <c r="A284" s="3" t="s">
        <v>357</v>
      </c>
      <c r="B284" s="3" t="s">
        <v>211</v>
      </c>
      <c r="C284" s="5">
        <v>0</v>
      </c>
      <c r="D284" s="5">
        <v>538</v>
      </c>
      <c r="E284" s="5">
        <v>0</v>
      </c>
      <c r="F284" s="5">
        <v>0</v>
      </c>
      <c r="G284" s="5">
        <v>1912</v>
      </c>
      <c r="H284" s="5">
        <v>0</v>
      </c>
      <c r="I284" s="5">
        <v>0</v>
      </c>
      <c r="J284" s="5">
        <v>0</v>
      </c>
      <c r="K284" s="9">
        <f t="shared" si="81"/>
        <v>2450</v>
      </c>
      <c r="L284" s="5"/>
    </row>
    <row r="285" spans="1:12" x14ac:dyDescent="0.25">
      <c r="A285" s="3" t="s">
        <v>358</v>
      </c>
      <c r="B285" s="3" t="s">
        <v>192</v>
      </c>
      <c r="C285" s="5">
        <v>0</v>
      </c>
      <c r="D285" s="5">
        <v>14497</v>
      </c>
      <c r="E285" s="5">
        <v>4133</v>
      </c>
      <c r="F285" s="5">
        <v>0</v>
      </c>
      <c r="G285" s="5">
        <v>0</v>
      </c>
      <c r="H285" s="5">
        <v>3629</v>
      </c>
      <c r="I285" s="5">
        <v>15690</v>
      </c>
      <c r="J285" s="5">
        <v>0</v>
      </c>
      <c r="K285" s="9">
        <f t="shared" si="81"/>
        <v>37949</v>
      </c>
      <c r="L285" s="5"/>
    </row>
    <row r="286" spans="1:12" x14ac:dyDescent="0.25">
      <c r="A286" s="3" t="s">
        <v>359</v>
      </c>
      <c r="B286" s="3" t="s">
        <v>360</v>
      </c>
      <c r="C286" s="5">
        <v>0</v>
      </c>
      <c r="D286" s="5">
        <v>157</v>
      </c>
      <c r="E286" s="5">
        <v>320</v>
      </c>
      <c r="F286" s="5">
        <v>848</v>
      </c>
      <c r="G286" s="5">
        <v>0</v>
      </c>
      <c r="H286" s="5">
        <v>7</v>
      </c>
      <c r="I286" s="5">
        <v>0</v>
      </c>
      <c r="J286" s="5">
        <v>0</v>
      </c>
      <c r="K286" s="9">
        <f t="shared" si="81"/>
        <v>1332</v>
      </c>
      <c r="L286" s="5"/>
    </row>
    <row r="287" spans="1:12" x14ac:dyDescent="0.25">
      <c r="A287" s="3" t="s">
        <v>361</v>
      </c>
      <c r="B287" s="3" t="s">
        <v>362</v>
      </c>
      <c r="C287" s="5">
        <v>0</v>
      </c>
      <c r="D287" s="5">
        <v>135495</v>
      </c>
      <c r="E287" s="5">
        <v>0</v>
      </c>
      <c r="F287" s="5">
        <v>0</v>
      </c>
      <c r="G287" s="5">
        <v>395079</v>
      </c>
      <c r="H287" s="5">
        <v>13200</v>
      </c>
      <c r="I287" s="5">
        <v>0</v>
      </c>
      <c r="J287" s="5">
        <v>0</v>
      </c>
      <c r="K287" s="9">
        <f t="shared" si="81"/>
        <v>543774</v>
      </c>
      <c r="L287" s="5"/>
    </row>
    <row r="288" spans="1:12" x14ac:dyDescent="0.25">
      <c r="A288" s="3" t="s">
        <v>363</v>
      </c>
      <c r="B288" s="3" t="s">
        <v>360</v>
      </c>
      <c r="C288" s="5">
        <v>0</v>
      </c>
      <c r="D288" s="5">
        <v>75332</v>
      </c>
      <c r="E288" s="5">
        <v>0</v>
      </c>
      <c r="F288" s="5">
        <v>322161</v>
      </c>
      <c r="G288" s="5">
        <v>0</v>
      </c>
      <c r="H288" s="5">
        <v>3449</v>
      </c>
      <c r="I288" s="5">
        <v>0</v>
      </c>
      <c r="J288" s="5">
        <v>0</v>
      </c>
      <c r="K288" s="9">
        <f t="shared" si="81"/>
        <v>400942</v>
      </c>
      <c r="L288" s="5"/>
    </row>
    <row r="289" spans="1:12" x14ac:dyDescent="0.25">
      <c r="A289" s="3" t="s">
        <v>364</v>
      </c>
      <c r="B289" s="3" t="s">
        <v>279</v>
      </c>
      <c r="C289" s="5">
        <v>0</v>
      </c>
      <c r="D289" s="5">
        <v>106763</v>
      </c>
      <c r="E289" s="5">
        <v>87373</v>
      </c>
      <c r="F289" s="5">
        <v>0</v>
      </c>
      <c r="G289" s="5">
        <v>0</v>
      </c>
      <c r="H289" s="5">
        <v>6100</v>
      </c>
      <c r="I289" s="5">
        <v>0</v>
      </c>
      <c r="J289" s="5">
        <v>0</v>
      </c>
      <c r="K289" s="9">
        <f t="shared" si="81"/>
        <v>200236</v>
      </c>
      <c r="L289" s="5"/>
    </row>
    <row r="290" spans="1:12" x14ac:dyDescent="0.25">
      <c r="A290" s="3" t="s">
        <v>365</v>
      </c>
      <c r="B290" s="3" t="s">
        <v>366</v>
      </c>
      <c r="C290" s="5">
        <v>0</v>
      </c>
      <c r="D290" s="5">
        <v>1252</v>
      </c>
      <c r="E290" s="5">
        <v>0</v>
      </c>
      <c r="F290" s="5">
        <v>0</v>
      </c>
      <c r="G290" s="5">
        <v>0</v>
      </c>
      <c r="H290" s="5">
        <v>28064</v>
      </c>
      <c r="I290" s="5">
        <v>0</v>
      </c>
      <c r="J290" s="5">
        <v>0</v>
      </c>
      <c r="K290" s="9">
        <f t="shared" si="81"/>
        <v>29316</v>
      </c>
      <c r="L290" s="5"/>
    </row>
    <row r="291" spans="1:12" x14ac:dyDescent="0.25">
      <c r="A291" s="3"/>
      <c r="B291" s="6" t="s">
        <v>4</v>
      </c>
      <c r="C291" s="14">
        <f t="shared" ref="C291:J291" si="83">SUBTOTAL(9,C292:C302)</f>
        <v>0</v>
      </c>
      <c r="D291" s="14">
        <f t="shared" si="83"/>
        <v>713708</v>
      </c>
      <c r="E291" s="14">
        <f t="shared" si="83"/>
        <v>164135</v>
      </c>
      <c r="F291" s="14">
        <f t="shared" si="83"/>
        <v>507800</v>
      </c>
      <c r="G291" s="14">
        <f t="shared" si="83"/>
        <v>920432</v>
      </c>
      <c r="H291" s="14">
        <f t="shared" si="83"/>
        <v>406856</v>
      </c>
      <c r="I291" s="14">
        <f t="shared" si="83"/>
        <v>645215</v>
      </c>
      <c r="J291" s="14">
        <f t="shared" si="83"/>
        <v>1489</v>
      </c>
      <c r="K291" s="12">
        <f>SUBTOTAL(9,K292:K302)</f>
        <v>3359635</v>
      </c>
      <c r="L291" s="5"/>
    </row>
    <row r="292" spans="1:12" x14ac:dyDescent="0.25">
      <c r="A292" s="3" t="s">
        <v>367</v>
      </c>
      <c r="B292" s="3" t="s">
        <v>292</v>
      </c>
      <c r="C292" s="5">
        <v>0</v>
      </c>
      <c r="D292" s="5">
        <v>160036</v>
      </c>
      <c r="E292" s="5">
        <v>30175</v>
      </c>
      <c r="F292" s="5">
        <v>0</v>
      </c>
      <c r="G292" s="5">
        <v>49556</v>
      </c>
      <c r="H292" s="5">
        <v>86264</v>
      </c>
      <c r="I292" s="5">
        <v>0</v>
      </c>
      <c r="J292" s="5">
        <v>0</v>
      </c>
      <c r="K292" s="9">
        <f t="shared" ref="K292:K302" si="84">SUM(C292:J292)</f>
        <v>326031</v>
      </c>
      <c r="L292" s="5"/>
    </row>
    <row r="293" spans="1:12" x14ac:dyDescent="0.25">
      <c r="A293" s="3" t="s">
        <v>368</v>
      </c>
      <c r="B293" s="3" t="s">
        <v>369</v>
      </c>
      <c r="C293" s="5">
        <v>0</v>
      </c>
      <c r="D293" s="5">
        <v>235358</v>
      </c>
      <c r="E293" s="5">
        <v>0</v>
      </c>
      <c r="F293" s="5">
        <v>0</v>
      </c>
      <c r="G293" s="5">
        <v>531624</v>
      </c>
      <c r="H293" s="5">
        <v>21443</v>
      </c>
      <c r="I293" s="5">
        <v>0</v>
      </c>
      <c r="J293" s="5">
        <v>0</v>
      </c>
      <c r="K293" s="9">
        <f t="shared" si="84"/>
        <v>788425</v>
      </c>
      <c r="L293" s="5"/>
    </row>
    <row r="294" spans="1:12" x14ac:dyDescent="0.25">
      <c r="A294" s="3" t="s">
        <v>370</v>
      </c>
      <c r="B294" s="3" t="s">
        <v>371</v>
      </c>
      <c r="C294" s="5">
        <v>0</v>
      </c>
      <c r="D294" s="5">
        <v>14522</v>
      </c>
      <c r="E294" s="5">
        <v>0</v>
      </c>
      <c r="F294" s="5">
        <v>0</v>
      </c>
      <c r="G294" s="5">
        <v>183368</v>
      </c>
      <c r="H294" s="5">
        <v>2479</v>
      </c>
      <c r="I294" s="5">
        <v>645215</v>
      </c>
      <c r="J294" s="5">
        <v>0</v>
      </c>
      <c r="K294" s="9">
        <f t="shared" si="84"/>
        <v>845584</v>
      </c>
      <c r="L294" s="5"/>
    </row>
    <row r="295" spans="1:12" x14ac:dyDescent="0.25">
      <c r="A295" s="3" t="s">
        <v>372</v>
      </c>
      <c r="B295" s="3" t="s">
        <v>360</v>
      </c>
      <c r="C295" s="5">
        <v>0</v>
      </c>
      <c r="D295" s="5">
        <v>120236</v>
      </c>
      <c r="E295" s="5">
        <v>16853</v>
      </c>
      <c r="F295" s="5">
        <v>464781</v>
      </c>
      <c r="G295" s="5">
        <v>0</v>
      </c>
      <c r="H295" s="5">
        <v>11144</v>
      </c>
      <c r="I295" s="5">
        <v>0</v>
      </c>
      <c r="J295" s="5">
        <v>0</v>
      </c>
      <c r="K295" s="9">
        <f t="shared" si="84"/>
        <v>613014</v>
      </c>
      <c r="L295" s="5"/>
    </row>
    <row r="296" spans="1:12" x14ac:dyDescent="0.25">
      <c r="A296" s="3" t="s">
        <v>302</v>
      </c>
      <c r="B296" s="3" t="s">
        <v>303</v>
      </c>
      <c r="C296" s="5">
        <v>0</v>
      </c>
      <c r="D296" s="5">
        <v>18057</v>
      </c>
      <c r="E296" s="5">
        <v>0</v>
      </c>
      <c r="F296" s="5">
        <v>0</v>
      </c>
      <c r="G296" s="5">
        <v>0</v>
      </c>
      <c r="H296" s="5">
        <v>8381</v>
      </c>
      <c r="I296" s="5">
        <v>0</v>
      </c>
      <c r="J296" s="5">
        <v>0</v>
      </c>
      <c r="K296" s="9">
        <f t="shared" si="84"/>
        <v>26438</v>
      </c>
      <c r="L296" s="5"/>
    </row>
    <row r="297" spans="1:12" x14ac:dyDescent="0.25">
      <c r="A297" s="3" t="s">
        <v>373</v>
      </c>
      <c r="B297" s="3" t="s">
        <v>374</v>
      </c>
      <c r="C297" s="5">
        <v>0</v>
      </c>
      <c r="D297" s="5">
        <v>15564</v>
      </c>
      <c r="E297" s="5">
        <v>8935</v>
      </c>
      <c r="F297" s="5">
        <v>0</v>
      </c>
      <c r="G297" s="5">
        <v>88487</v>
      </c>
      <c r="H297" s="5">
        <v>1816</v>
      </c>
      <c r="I297" s="5">
        <v>0</v>
      </c>
      <c r="J297" s="5">
        <v>0</v>
      </c>
      <c r="K297" s="9">
        <f t="shared" si="84"/>
        <v>114802</v>
      </c>
      <c r="L297" s="5"/>
    </row>
    <row r="298" spans="1:12" x14ac:dyDescent="0.25">
      <c r="A298" s="3" t="s">
        <v>375</v>
      </c>
      <c r="B298" s="3" t="s">
        <v>376</v>
      </c>
      <c r="C298" s="5">
        <v>0</v>
      </c>
      <c r="D298" s="5">
        <v>45596</v>
      </c>
      <c r="E298" s="5">
        <v>26439</v>
      </c>
      <c r="F298" s="5">
        <v>0</v>
      </c>
      <c r="G298" s="5">
        <v>23968</v>
      </c>
      <c r="H298" s="5">
        <v>36091</v>
      </c>
      <c r="I298" s="5">
        <v>0</v>
      </c>
      <c r="J298" s="5">
        <v>1489</v>
      </c>
      <c r="K298" s="9">
        <f t="shared" si="84"/>
        <v>133583</v>
      </c>
      <c r="L298" s="5"/>
    </row>
    <row r="299" spans="1:12" x14ac:dyDescent="0.25">
      <c r="A299" s="3" t="s">
        <v>377</v>
      </c>
      <c r="B299" s="3" t="s">
        <v>378</v>
      </c>
      <c r="C299" s="5">
        <v>0</v>
      </c>
      <c r="D299" s="5">
        <v>43465</v>
      </c>
      <c r="E299" s="5">
        <v>81733</v>
      </c>
      <c r="F299" s="5">
        <v>0</v>
      </c>
      <c r="G299" s="5">
        <v>2110</v>
      </c>
      <c r="H299" s="5">
        <v>1890</v>
      </c>
      <c r="I299" s="5">
        <v>0</v>
      </c>
      <c r="J299" s="5">
        <v>0</v>
      </c>
      <c r="K299" s="9">
        <f t="shared" si="84"/>
        <v>129198</v>
      </c>
      <c r="L299" s="5"/>
    </row>
    <row r="300" spans="1:12" x14ac:dyDescent="0.25">
      <c r="A300" s="3" t="s">
        <v>305</v>
      </c>
      <c r="B300" s="3" t="s">
        <v>306</v>
      </c>
      <c r="C300" s="5">
        <v>0</v>
      </c>
      <c r="D300" s="5">
        <v>20785</v>
      </c>
      <c r="E300" s="5">
        <v>0</v>
      </c>
      <c r="F300" s="5">
        <v>0</v>
      </c>
      <c r="G300" s="5">
        <v>0</v>
      </c>
      <c r="H300" s="5">
        <v>236037</v>
      </c>
      <c r="I300" s="5">
        <v>0</v>
      </c>
      <c r="J300" s="5">
        <v>0</v>
      </c>
      <c r="K300" s="9">
        <f t="shared" si="84"/>
        <v>256822</v>
      </c>
      <c r="L300" s="5"/>
    </row>
    <row r="301" spans="1:12" x14ac:dyDescent="0.25">
      <c r="A301" s="3" t="s">
        <v>307</v>
      </c>
      <c r="B301" s="3" t="s">
        <v>179</v>
      </c>
      <c r="C301" s="5">
        <v>0</v>
      </c>
      <c r="D301" s="5">
        <v>11538</v>
      </c>
      <c r="E301" s="5">
        <v>0</v>
      </c>
      <c r="F301" s="5">
        <v>43019</v>
      </c>
      <c r="G301" s="5">
        <v>0</v>
      </c>
      <c r="H301" s="5">
        <v>1311</v>
      </c>
      <c r="I301" s="5">
        <v>0</v>
      </c>
      <c r="J301" s="5">
        <v>0</v>
      </c>
      <c r="K301" s="9">
        <f t="shared" si="84"/>
        <v>55868</v>
      </c>
      <c r="L301" s="5"/>
    </row>
    <row r="302" spans="1:12" x14ac:dyDescent="0.25">
      <c r="A302" s="3" t="s">
        <v>308</v>
      </c>
      <c r="B302" s="3" t="s">
        <v>309</v>
      </c>
      <c r="C302" s="5">
        <v>0</v>
      </c>
      <c r="D302" s="5">
        <v>28551</v>
      </c>
      <c r="E302" s="5">
        <v>0</v>
      </c>
      <c r="F302" s="5">
        <v>0</v>
      </c>
      <c r="G302" s="5">
        <v>41319</v>
      </c>
      <c r="H302" s="5">
        <v>0</v>
      </c>
      <c r="I302" s="5">
        <v>0</v>
      </c>
      <c r="J302" s="5">
        <v>0</v>
      </c>
      <c r="K302" s="9">
        <f t="shared" si="84"/>
        <v>69870</v>
      </c>
      <c r="L302" s="5"/>
    </row>
    <row r="303" spans="1:12" x14ac:dyDescent="0.25">
      <c r="A303" s="3"/>
      <c r="B303" s="6" t="s">
        <v>174</v>
      </c>
      <c r="C303" s="14">
        <f t="shared" ref="C303:J303" si="85">SUBTOTAL(9,C304:C305)</f>
        <v>0</v>
      </c>
      <c r="D303" s="14">
        <f t="shared" si="85"/>
        <v>16893</v>
      </c>
      <c r="E303" s="14">
        <f t="shared" si="85"/>
        <v>0</v>
      </c>
      <c r="F303" s="14">
        <f t="shared" si="85"/>
        <v>0</v>
      </c>
      <c r="G303" s="14">
        <f t="shared" si="85"/>
        <v>0</v>
      </c>
      <c r="H303" s="14">
        <f t="shared" si="85"/>
        <v>146079</v>
      </c>
      <c r="I303" s="14">
        <f t="shared" si="85"/>
        <v>0</v>
      </c>
      <c r="J303" s="14">
        <f t="shared" si="85"/>
        <v>0</v>
      </c>
      <c r="K303" s="12">
        <f>SUBTOTAL(9,K304:K305)</f>
        <v>162972</v>
      </c>
      <c r="L303" s="5"/>
    </row>
    <row r="304" spans="1:12" x14ac:dyDescent="0.25">
      <c r="A304" s="3" t="s">
        <v>310</v>
      </c>
      <c r="B304" s="3" t="s">
        <v>311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145856</v>
      </c>
      <c r="I304" s="5">
        <v>0</v>
      </c>
      <c r="J304" s="5">
        <v>0</v>
      </c>
      <c r="K304" s="9">
        <f t="shared" ref="K304:K305" si="86">SUM(C304:J304)</f>
        <v>145856</v>
      </c>
      <c r="L304" s="5"/>
    </row>
    <row r="305" spans="1:12" x14ac:dyDescent="0.25">
      <c r="A305" s="3" t="s">
        <v>312</v>
      </c>
      <c r="B305" s="3" t="s">
        <v>313</v>
      </c>
      <c r="C305" s="5">
        <v>0</v>
      </c>
      <c r="D305" s="5">
        <v>16893</v>
      </c>
      <c r="E305" s="5">
        <v>0</v>
      </c>
      <c r="F305" s="5">
        <v>0</v>
      </c>
      <c r="G305" s="5">
        <v>0</v>
      </c>
      <c r="H305" s="5">
        <v>223</v>
      </c>
      <c r="I305" s="5">
        <v>0</v>
      </c>
      <c r="J305" s="5">
        <v>0</v>
      </c>
      <c r="K305" s="9">
        <f t="shared" si="86"/>
        <v>17116</v>
      </c>
      <c r="L305" s="5"/>
    </row>
    <row r="306" spans="1:12" x14ac:dyDescent="0.25">
      <c r="A306" s="3"/>
      <c r="B306" s="6" t="s">
        <v>379</v>
      </c>
      <c r="C306" s="14">
        <f t="shared" ref="C306:J306" si="87">SUBTOTAL(9,C307:C308)</f>
        <v>0</v>
      </c>
      <c r="D306" s="14">
        <f t="shared" si="87"/>
        <v>8419</v>
      </c>
      <c r="E306" s="14">
        <f t="shared" si="87"/>
        <v>0</v>
      </c>
      <c r="F306" s="14">
        <f t="shared" si="87"/>
        <v>0</v>
      </c>
      <c r="G306" s="14">
        <f t="shared" si="87"/>
        <v>0</v>
      </c>
      <c r="H306" s="14">
        <f t="shared" si="87"/>
        <v>72247</v>
      </c>
      <c r="I306" s="14">
        <f t="shared" si="87"/>
        <v>0</v>
      </c>
      <c r="J306" s="14">
        <f t="shared" si="87"/>
        <v>0</v>
      </c>
      <c r="K306" s="12">
        <f>SUBTOTAL(9,K307:K308)</f>
        <v>80666</v>
      </c>
      <c r="L306" s="5"/>
    </row>
    <row r="307" spans="1:12" x14ac:dyDescent="0.25">
      <c r="A307" s="3" t="s">
        <v>197</v>
      </c>
      <c r="B307" s="3" t="s">
        <v>198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72149</v>
      </c>
      <c r="I307" s="5">
        <v>0</v>
      </c>
      <c r="J307" s="5">
        <v>0</v>
      </c>
      <c r="K307" s="9">
        <f t="shared" ref="K307:K308" si="88">SUM(C307:J307)</f>
        <v>72149</v>
      </c>
      <c r="L307" s="5"/>
    </row>
    <row r="308" spans="1:12" x14ac:dyDescent="0.25">
      <c r="A308" s="3" t="s">
        <v>199</v>
      </c>
      <c r="B308" s="3" t="s">
        <v>200</v>
      </c>
      <c r="C308" s="5">
        <v>0</v>
      </c>
      <c r="D308" s="5">
        <v>8419</v>
      </c>
      <c r="E308" s="5">
        <v>0</v>
      </c>
      <c r="F308" s="5">
        <v>0</v>
      </c>
      <c r="G308" s="5">
        <v>0</v>
      </c>
      <c r="H308" s="5">
        <v>98</v>
      </c>
      <c r="I308" s="5">
        <v>0</v>
      </c>
      <c r="J308" s="5">
        <v>0</v>
      </c>
      <c r="K308" s="9">
        <f t="shared" si="88"/>
        <v>8517</v>
      </c>
      <c r="L308" s="5"/>
    </row>
    <row r="309" spans="1:12" x14ac:dyDescent="0.25">
      <c r="A309" s="3"/>
      <c r="B309" s="6" t="s">
        <v>314</v>
      </c>
      <c r="C309" s="14">
        <f t="shared" ref="C309:J309" si="89">SUBTOTAL(9,C310:C313)</f>
        <v>0</v>
      </c>
      <c r="D309" s="14">
        <f t="shared" si="89"/>
        <v>17817</v>
      </c>
      <c r="E309" s="14">
        <f t="shared" si="89"/>
        <v>0</v>
      </c>
      <c r="F309" s="14">
        <f t="shared" si="89"/>
        <v>0</v>
      </c>
      <c r="G309" s="14">
        <f t="shared" si="89"/>
        <v>0</v>
      </c>
      <c r="H309" s="14">
        <f t="shared" si="89"/>
        <v>88421</v>
      </c>
      <c r="I309" s="14">
        <f t="shared" si="89"/>
        <v>0</v>
      </c>
      <c r="J309" s="14">
        <f t="shared" si="89"/>
        <v>0</v>
      </c>
      <c r="K309" s="12">
        <f>SUBTOTAL(9,K310:K313)</f>
        <v>106238</v>
      </c>
      <c r="L309" s="5"/>
    </row>
    <row r="310" spans="1:12" x14ac:dyDescent="0.25">
      <c r="A310" s="3" t="s">
        <v>315</v>
      </c>
      <c r="B310" s="3" t="s">
        <v>316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85125</v>
      </c>
      <c r="I310" s="5">
        <v>0</v>
      </c>
      <c r="J310" s="5">
        <v>0</v>
      </c>
      <c r="K310" s="9">
        <f t="shared" ref="K310:K313" si="90">SUM(C310:J310)</f>
        <v>85125</v>
      </c>
      <c r="L310" s="5"/>
    </row>
    <row r="311" spans="1:12" x14ac:dyDescent="0.25">
      <c r="A311" s="3" t="s">
        <v>317</v>
      </c>
      <c r="B311" s="3" t="s">
        <v>318</v>
      </c>
      <c r="C311" s="5">
        <v>0</v>
      </c>
      <c r="D311" s="5">
        <v>15073</v>
      </c>
      <c r="E311" s="5">
        <v>0</v>
      </c>
      <c r="F311" s="5">
        <v>0</v>
      </c>
      <c r="G311" s="5">
        <v>0</v>
      </c>
      <c r="H311" s="5">
        <v>344</v>
      </c>
      <c r="I311" s="5">
        <v>0</v>
      </c>
      <c r="J311" s="5">
        <v>0</v>
      </c>
      <c r="K311" s="9">
        <f t="shared" si="90"/>
        <v>15417</v>
      </c>
      <c r="L311" s="5"/>
    </row>
    <row r="312" spans="1:12" x14ac:dyDescent="0.25">
      <c r="A312" s="3" t="s">
        <v>319</v>
      </c>
      <c r="B312" s="3" t="s">
        <v>320</v>
      </c>
      <c r="C312" s="5">
        <v>0</v>
      </c>
      <c r="D312" s="5">
        <v>242</v>
      </c>
      <c r="E312" s="5">
        <v>0</v>
      </c>
      <c r="F312" s="5">
        <v>0</v>
      </c>
      <c r="G312" s="5">
        <v>0</v>
      </c>
      <c r="H312" s="5">
        <v>698</v>
      </c>
      <c r="I312" s="5">
        <v>0</v>
      </c>
      <c r="J312" s="5">
        <v>0</v>
      </c>
      <c r="K312" s="9">
        <f t="shared" si="90"/>
        <v>940</v>
      </c>
      <c r="L312" s="5"/>
    </row>
    <row r="313" spans="1:12" x14ac:dyDescent="0.25">
      <c r="A313" s="3" t="s">
        <v>321</v>
      </c>
      <c r="B313" s="3" t="s">
        <v>322</v>
      </c>
      <c r="C313" s="5">
        <v>0</v>
      </c>
      <c r="D313" s="5">
        <v>2502</v>
      </c>
      <c r="E313" s="5">
        <v>0</v>
      </c>
      <c r="F313" s="5">
        <v>0</v>
      </c>
      <c r="G313" s="5">
        <v>0</v>
      </c>
      <c r="H313" s="5">
        <v>2254</v>
      </c>
      <c r="I313" s="5">
        <v>0</v>
      </c>
      <c r="J313" s="5">
        <v>0</v>
      </c>
      <c r="K313" s="9">
        <f t="shared" si="90"/>
        <v>4756</v>
      </c>
      <c r="L313" s="5"/>
    </row>
    <row r="314" spans="1:12" x14ac:dyDescent="0.25">
      <c r="A314" s="3"/>
      <c r="B314" s="6" t="s">
        <v>324</v>
      </c>
      <c r="C314" s="14">
        <f t="shared" ref="C314:J314" si="91">SUBTOTAL(9,C315:C319)</f>
        <v>0</v>
      </c>
      <c r="D314" s="14">
        <f t="shared" si="91"/>
        <v>19155</v>
      </c>
      <c r="E314" s="14">
        <f t="shared" si="91"/>
        <v>261</v>
      </c>
      <c r="F314" s="14">
        <f t="shared" si="91"/>
        <v>9326</v>
      </c>
      <c r="G314" s="14">
        <f t="shared" si="91"/>
        <v>18467</v>
      </c>
      <c r="H314" s="14">
        <f t="shared" si="91"/>
        <v>2320</v>
      </c>
      <c r="I314" s="14">
        <f t="shared" si="91"/>
        <v>0</v>
      </c>
      <c r="J314" s="14">
        <f t="shared" si="91"/>
        <v>0</v>
      </c>
      <c r="K314" s="12">
        <f>SUBTOTAL(9,K315:K319)</f>
        <v>49529</v>
      </c>
      <c r="L314" s="5"/>
    </row>
    <row r="315" spans="1:12" x14ac:dyDescent="0.25">
      <c r="A315" s="3" t="s">
        <v>325</v>
      </c>
      <c r="B315" s="3" t="s">
        <v>265</v>
      </c>
      <c r="C315" s="5">
        <v>0</v>
      </c>
      <c r="D315" s="5">
        <v>3942</v>
      </c>
      <c r="E315" s="5">
        <v>261</v>
      </c>
      <c r="F315" s="5">
        <v>9326</v>
      </c>
      <c r="G315" s="5">
        <v>0</v>
      </c>
      <c r="H315" s="5">
        <v>682</v>
      </c>
      <c r="I315" s="5">
        <v>0</v>
      </c>
      <c r="J315" s="5">
        <v>0</v>
      </c>
      <c r="K315" s="9">
        <f t="shared" ref="K315:K319" si="92">SUM(C315:J315)</f>
        <v>14211</v>
      </c>
      <c r="L315" s="5"/>
    </row>
    <row r="316" spans="1:12" x14ac:dyDescent="0.25">
      <c r="A316" s="3" t="s">
        <v>326</v>
      </c>
      <c r="B316" s="3" t="s">
        <v>327</v>
      </c>
      <c r="C316" s="5">
        <v>0</v>
      </c>
      <c r="D316" s="5">
        <v>7987</v>
      </c>
      <c r="E316" s="5">
        <v>0</v>
      </c>
      <c r="F316" s="5">
        <v>0</v>
      </c>
      <c r="G316" s="5">
        <v>18467</v>
      </c>
      <c r="H316" s="5">
        <v>0</v>
      </c>
      <c r="I316" s="5">
        <v>0</v>
      </c>
      <c r="J316" s="5">
        <v>0</v>
      </c>
      <c r="K316" s="9">
        <f t="shared" si="92"/>
        <v>26454</v>
      </c>
      <c r="L316" s="5"/>
    </row>
    <row r="317" spans="1:12" x14ac:dyDescent="0.25">
      <c r="A317" s="3" t="s">
        <v>328</v>
      </c>
      <c r="B317" s="3" t="s">
        <v>329</v>
      </c>
      <c r="C317" s="5">
        <v>0</v>
      </c>
      <c r="D317" s="5">
        <v>4488</v>
      </c>
      <c r="E317" s="5">
        <v>0</v>
      </c>
      <c r="F317" s="5">
        <v>0</v>
      </c>
      <c r="G317" s="5">
        <v>0</v>
      </c>
      <c r="H317" s="5">
        <v>1162</v>
      </c>
      <c r="I317" s="5">
        <v>0</v>
      </c>
      <c r="J317" s="5">
        <v>0</v>
      </c>
      <c r="K317" s="9">
        <f t="shared" si="92"/>
        <v>5650</v>
      </c>
      <c r="L317" s="5"/>
    </row>
    <row r="318" spans="1:12" x14ac:dyDescent="0.25">
      <c r="A318" s="3" t="s">
        <v>330</v>
      </c>
      <c r="B318" s="3" t="s">
        <v>331</v>
      </c>
      <c r="C318" s="5">
        <v>0</v>
      </c>
      <c r="D318" s="5">
        <v>2474</v>
      </c>
      <c r="E318" s="5">
        <v>0</v>
      </c>
      <c r="F318" s="5">
        <v>0</v>
      </c>
      <c r="G318" s="5">
        <v>0</v>
      </c>
      <c r="H318" s="5">
        <v>364</v>
      </c>
      <c r="I318" s="5">
        <v>0</v>
      </c>
      <c r="J318" s="5">
        <v>0</v>
      </c>
      <c r="K318" s="9">
        <f t="shared" si="92"/>
        <v>2838</v>
      </c>
      <c r="L318" s="5"/>
    </row>
    <row r="319" spans="1:12" x14ac:dyDescent="0.25">
      <c r="A319" s="3" t="s">
        <v>332</v>
      </c>
      <c r="B319" s="3" t="s">
        <v>333</v>
      </c>
      <c r="C319" s="5">
        <v>0</v>
      </c>
      <c r="D319" s="5">
        <v>264</v>
      </c>
      <c r="E319" s="5">
        <v>0</v>
      </c>
      <c r="F319" s="5">
        <v>0</v>
      </c>
      <c r="G319" s="5">
        <v>0</v>
      </c>
      <c r="H319" s="5">
        <v>112</v>
      </c>
      <c r="I319" s="5">
        <v>0</v>
      </c>
      <c r="J319" s="5">
        <v>0</v>
      </c>
      <c r="K319" s="9">
        <f t="shared" si="92"/>
        <v>376</v>
      </c>
      <c r="L319" s="5"/>
    </row>
    <row r="320" spans="1:12" x14ac:dyDescent="0.25">
      <c r="A320" s="3"/>
      <c r="B320" s="6" t="s">
        <v>251</v>
      </c>
      <c r="C320" s="14">
        <f t="shared" ref="C320:J320" si="93">SUBTOTAL(9,C321:C326)</f>
        <v>0</v>
      </c>
      <c r="D320" s="14">
        <f t="shared" si="93"/>
        <v>100456</v>
      </c>
      <c r="E320" s="14">
        <f t="shared" si="93"/>
        <v>2165</v>
      </c>
      <c r="F320" s="14">
        <f t="shared" si="93"/>
        <v>40032</v>
      </c>
      <c r="G320" s="14">
        <f t="shared" si="93"/>
        <v>31922</v>
      </c>
      <c r="H320" s="14">
        <f t="shared" si="93"/>
        <v>14184</v>
      </c>
      <c r="I320" s="14">
        <f t="shared" si="93"/>
        <v>0</v>
      </c>
      <c r="J320" s="14">
        <f t="shared" si="93"/>
        <v>0</v>
      </c>
      <c r="K320" s="12">
        <f>SUBTOTAL(9,K321:K326)</f>
        <v>188759</v>
      </c>
      <c r="L320" s="5"/>
    </row>
    <row r="321" spans="1:12" x14ac:dyDescent="0.25">
      <c r="A321" s="3" t="s">
        <v>252</v>
      </c>
      <c r="B321" s="3" t="s">
        <v>253</v>
      </c>
      <c r="C321" s="5">
        <v>0</v>
      </c>
      <c r="D321" s="5">
        <v>1137</v>
      </c>
      <c r="E321" s="5">
        <v>1003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9">
        <f t="shared" ref="K321:K326" si="94">SUM(C321:J321)</f>
        <v>2140</v>
      </c>
      <c r="L321" s="5"/>
    </row>
    <row r="322" spans="1:12" x14ac:dyDescent="0.25">
      <c r="A322" s="3" t="s">
        <v>254</v>
      </c>
      <c r="B322" s="3" t="s">
        <v>255</v>
      </c>
      <c r="C322" s="5">
        <v>0</v>
      </c>
      <c r="D322" s="5">
        <v>655</v>
      </c>
      <c r="E322" s="5">
        <v>0</v>
      </c>
      <c r="F322" s="5">
        <v>3055</v>
      </c>
      <c r="G322" s="5">
        <v>0</v>
      </c>
      <c r="H322" s="5">
        <v>36</v>
      </c>
      <c r="I322" s="5">
        <v>0</v>
      </c>
      <c r="J322" s="5">
        <v>0</v>
      </c>
      <c r="K322" s="9">
        <f t="shared" si="94"/>
        <v>3746</v>
      </c>
      <c r="L322" s="5"/>
    </row>
    <row r="323" spans="1:12" x14ac:dyDescent="0.25">
      <c r="A323" s="3" t="s">
        <v>260</v>
      </c>
      <c r="B323" s="3" t="s">
        <v>261</v>
      </c>
      <c r="C323" s="5">
        <v>0</v>
      </c>
      <c r="D323" s="5">
        <v>75334</v>
      </c>
      <c r="E323" s="5">
        <v>1162</v>
      </c>
      <c r="F323" s="5">
        <v>0</v>
      </c>
      <c r="G323" s="5">
        <v>0</v>
      </c>
      <c r="H323" s="5">
        <v>13103</v>
      </c>
      <c r="I323" s="5">
        <v>0</v>
      </c>
      <c r="J323" s="5">
        <v>0</v>
      </c>
      <c r="K323" s="9">
        <f t="shared" si="94"/>
        <v>89599</v>
      </c>
      <c r="L323" s="5"/>
    </row>
    <row r="324" spans="1:12" x14ac:dyDescent="0.25">
      <c r="A324" s="3" t="s">
        <v>353</v>
      </c>
      <c r="B324" s="3" t="s">
        <v>251</v>
      </c>
      <c r="C324" s="5">
        <v>0</v>
      </c>
      <c r="D324" s="5">
        <v>6483</v>
      </c>
      <c r="E324" s="5">
        <v>0</v>
      </c>
      <c r="F324" s="5">
        <v>36977</v>
      </c>
      <c r="G324" s="5">
        <v>0</v>
      </c>
      <c r="H324" s="5">
        <v>1045</v>
      </c>
      <c r="I324" s="5">
        <v>0</v>
      </c>
      <c r="J324" s="5">
        <v>0</v>
      </c>
      <c r="K324" s="9">
        <f t="shared" si="94"/>
        <v>44505</v>
      </c>
      <c r="L324" s="5"/>
    </row>
    <row r="325" spans="1:12" x14ac:dyDescent="0.25">
      <c r="A325" s="3" t="s">
        <v>256</v>
      </c>
      <c r="B325" s="3" t="s">
        <v>257</v>
      </c>
      <c r="C325" s="5">
        <v>0</v>
      </c>
      <c r="D325" s="5">
        <v>13915</v>
      </c>
      <c r="E325" s="5">
        <v>0</v>
      </c>
      <c r="F325" s="5">
        <v>0</v>
      </c>
      <c r="G325" s="5">
        <v>31541</v>
      </c>
      <c r="H325" s="5">
        <v>0</v>
      </c>
      <c r="I325" s="5">
        <v>0</v>
      </c>
      <c r="J325" s="5">
        <v>0</v>
      </c>
      <c r="K325" s="9">
        <f t="shared" si="94"/>
        <v>45456</v>
      </c>
      <c r="L325" s="5"/>
    </row>
    <row r="326" spans="1:12" x14ac:dyDescent="0.25">
      <c r="A326" s="3" t="s">
        <v>258</v>
      </c>
      <c r="B326" s="3" t="s">
        <v>259</v>
      </c>
      <c r="C326" s="5">
        <v>0</v>
      </c>
      <c r="D326" s="5">
        <v>2932</v>
      </c>
      <c r="E326" s="5">
        <v>0</v>
      </c>
      <c r="F326" s="5">
        <v>0</v>
      </c>
      <c r="G326" s="5">
        <v>381</v>
      </c>
      <c r="H326" s="5">
        <v>0</v>
      </c>
      <c r="I326" s="5">
        <v>0</v>
      </c>
      <c r="J326" s="5">
        <v>0</v>
      </c>
      <c r="K326" s="9">
        <f t="shared" si="94"/>
        <v>3313</v>
      </c>
      <c r="L326" s="5"/>
    </row>
    <row r="327" spans="1:12" x14ac:dyDescent="0.25">
      <c r="A327" s="3"/>
      <c r="B327" s="7" t="s">
        <v>380</v>
      </c>
      <c r="C327" s="17">
        <f t="shared" ref="C327:J327" si="95">SUBTOTAL(9,C328:C361)</f>
        <v>0</v>
      </c>
      <c r="D327" s="17">
        <f t="shared" si="95"/>
        <v>112901</v>
      </c>
      <c r="E327" s="17">
        <f t="shared" si="95"/>
        <v>7570</v>
      </c>
      <c r="F327" s="17">
        <f t="shared" si="95"/>
        <v>54972</v>
      </c>
      <c r="G327" s="17">
        <f t="shared" si="95"/>
        <v>78993</v>
      </c>
      <c r="H327" s="17">
        <f t="shared" si="95"/>
        <v>239166</v>
      </c>
      <c r="I327" s="17">
        <f t="shared" si="95"/>
        <v>0</v>
      </c>
      <c r="J327" s="17">
        <f t="shared" si="95"/>
        <v>0</v>
      </c>
      <c r="K327" s="18">
        <f>SUBTOTAL(9,K328:K361)</f>
        <v>493602</v>
      </c>
      <c r="L327" s="5"/>
    </row>
    <row r="328" spans="1:12" x14ac:dyDescent="0.25">
      <c r="A328" s="3"/>
      <c r="B328" s="6" t="s">
        <v>381</v>
      </c>
      <c r="C328" s="14">
        <f t="shared" ref="C328:J328" si="96">SUBTOTAL(9,C329:C331)</f>
        <v>0</v>
      </c>
      <c r="D328" s="14">
        <f t="shared" si="96"/>
        <v>1740</v>
      </c>
      <c r="E328" s="14">
        <f t="shared" si="96"/>
        <v>683</v>
      </c>
      <c r="F328" s="14">
        <f t="shared" si="96"/>
        <v>0</v>
      </c>
      <c r="G328" s="14">
        <f t="shared" si="96"/>
        <v>0</v>
      </c>
      <c r="H328" s="14">
        <f t="shared" si="96"/>
        <v>131523</v>
      </c>
      <c r="I328" s="14">
        <f t="shared" si="96"/>
        <v>0</v>
      </c>
      <c r="J328" s="14">
        <f t="shared" si="96"/>
        <v>0</v>
      </c>
      <c r="K328" s="12">
        <f>SUBTOTAL(9,K329:K331)</f>
        <v>133946</v>
      </c>
      <c r="L328" s="5"/>
    </row>
    <row r="329" spans="1:12" x14ac:dyDescent="0.25">
      <c r="A329" s="3" t="s">
        <v>382</v>
      </c>
      <c r="B329" s="3" t="s">
        <v>383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130116</v>
      </c>
      <c r="I329" s="5">
        <v>0</v>
      </c>
      <c r="J329" s="5">
        <v>0</v>
      </c>
      <c r="K329" s="9">
        <f t="shared" ref="K329:K333" si="97">SUM(C329:J329)</f>
        <v>130116</v>
      </c>
      <c r="L329" s="5"/>
    </row>
    <row r="330" spans="1:12" x14ac:dyDescent="0.25">
      <c r="A330" s="3" t="s">
        <v>384</v>
      </c>
      <c r="B330" s="3" t="s">
        <v>385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1145</v>
      </c>
      <c r="I330" s="5">
        <v>0</v>
      </c>
      <c r="J330" s="5">
        <v>0</v>
      </c>
      <c r="K330" s="9">
        <f t="shared" si="97"/>
        <v>1145</v>
      </c>
      <c r="L330" s="5"/>
    </row>
    <row r="331" spans="1:12" x14ac:dyDescent="0.25">
      <c r="A331" s="3" t="s">
        <v>386</v>
      </c>
      <c r="B331" s="3" t="s">
        <v>387</v>
      </c>
      <c r="C331" s="5">
        <v>0</v>
      </c>
      <c r="D331" s="5">
        <v>1740</v>
      </c>
      <c r="E331" s="5">
        <v>683</v>
      </c>
      <c r="F331" s="5">
        <v>0</v>
      </c>
      <c r="G331" s="5">
        <v>0</v>
      </c>
      <c r="H331" s="5">
        <v>262</v>
      </c>
      <c r="I331" s="5">
        <v>0</v>
      </c>
      <c r="J331" s="5">
        <v>0</v>
      </c>
      <c r="K331" s="9">
        <f t="shared" si="97"/>
        <v>2685</v>
      </c>
      <c r="L331" s="5"/>
    </row>
    <row r="332" spans="1:12" x14ac:dyDescent="0.25">
      <c r="A332" s="3"/>
      <c r="B332" s="6" t="s">
        <v>366</v>
      </c>
      <c r="C332" s="14">
        <f t="shared" ref="C332:J332" si="98">SUBTOTAL(9,C333)</f>
        <v>0</v>
      </c>
      <c r="D332" s="14">
        <f t="shared" si="98"/>
        <v>1480</v>
      </c>
      <c r="E332" s="14">
        <f t="shared" si="98"/>
        <v>0</v>
      </c>
      <c r="F332" s="14">
        <f t="shared" si="98"/>
        <v>0</v>
      </c>
      <c r="G332" s="14">
        <f t="shared" si="98"/>
        <v>0</v>
      </c>
      <c r="H332" s="14">
        <f t="shared" si="98"/>
        <v>31381</v>
      </c>
      <c r="I332" s="14">
        <f t="shared" si="98"/>
        <v>0</v>
      </c>
      <c r="J332" s="14">
        <f t="shared" si="98"/>
        <v>0</v>
      </c>
      <c r="K332" s="12">
        <f>SUBTOTAL(9,K333)</f>
        <v>32861</v>
      </c>
      <c r="L332" s="5"/>
    </row>
    <row r="333" spans="1:12" x14ac:dyDescent="0.25">
      <c r="A333" s="3" t="s">
        <v>365</v>
      </c>
      <c r="B333" s="3" t="s">
        <v>366</v>
      </c>
      <c r="C333" s="5">
        <v>0</v>
      </c>
      <c r="D333" s="5">
        <v>1480</v>
      </c>
      <c r="E333" s="5">
        <v>0</v>
      </c>
      <c r="F333" s="5">
        <v>0</v>
      </c>
      <c r="G333" s="5">
        <v>0</v>
      </c>
      <c r="H333" s="5">
        <v>31381</v>
      </c>
      <c r="I333" s="5">
        <v>0</v>
      </c>
      <c r="J333" s="5">
        <v>0</v>
      </c>
      <c r="K333" s="9">
        <f t="shared" si="97"/>
        <v>32861</v>
      </c>
      <c r="L333" s="5"/>
    </row>
    <row r="334" spans="1:12" x14ac:dyDescent="0.25">
      <c r="A334" s="3"/>
      <c r="B334" s="6" t="s">
        <v>388</v>
      </c>
      <c r="C334" s="14">
        <f t="shared" ref="C334:J334" si="99">SUBTOTAL(9,C335:C338)</f>
        <v>0</v>
      </c>
      <c r="D334" s="14">
        <f t="shared" si="99"/>
        <v>43298</v>
      </c>
      <c r="E334" s="14">
        <f t="shared" si="99"/>
        <v>2610</v>
      </c>
      <c r="F334" s="14">
        <f t="shared" si="99"/>
        <v>9117</v>
      </c>
      <c r="G334" s="14">
        <f t="shared" si="99"/>
        <v>24201</v>
      </c>
      <c r="H334" s="14">
        <f t="shared" si="99"/>
        <v>18689</v>
      </c>
      <c r="I334" s="14">
        <f t="shared" si="99"/>
        <v>0</v>
      </c>
      <c r="J334" s="14">
        <f t="shared" si="99"/>
        <v>0</v>
      </c>
      <c r="K334" s="12">
        <f>SUBTOTAL(9,K335:K338)</f>
        <v>97915</v>
      </c>
      <c r="L334" s="5"/>
    </row>
    <row r="335" spans="1:12" x14ac:dyDescent="0.25">
      <c r="A335" s="3" t="s">
        <v>389</v>
      </c>
      <c r="B335" s="3" t="s">
        <v>390</v>
      </c>
      <c r="C335" s="5">
        <v>0</v>
      </c>
      <c r="D335" s="5">
        <v>25380</v>
      </c>
      <c r="E335" s="5">
        <v>2610</v>
      </c>
      <c r="F335" s="5">
        <v>9117</v>
      </c>
      <c r="G335" s="5">
        <v>2090</v>
      </c>
      <c r="H335" s="5">
        <v>6717</v>
      </c>
      <c r="I335" s="5">
        <v>0</v>
      </c>
      <c r="J335" s="5">
        <v>0</v>
      </c>
      <c r="K335" s="9">
        <f t="shared" ref="K335:K338" si="100">SUM(C335:J335)</f>
        <v>45914</v>
      </c>
      <c r="L335" s="5"/>
    </row>
    <row r="336" spans="1:12" x14ac:dyDescent="0.25">
      <c r="A336" s="3" t="s">
        <v>391</v>
      </c>
      <c r="B336" s="3" t="s">
        <v>297</v>
      </c>
      <c r="C336" s="5">
        <v>0</v>
      </c>
      <c r="D336" s="5">
        <v>9903</v>
      </c>
      <c r="E336" s="5">
        <v>0</v>
      </c>
      <c r="F336" s="5">
        <v>0</v>
      </c>
      <c r="G336" s="5">
        <v>22111</v>
      </c>
      <c r="H336" s="5">
        <v>0</v>
      </c>
      <c r="I336" s="5">
        <v>0</v>
      </c>
      <c r="J336" s="5">
        <v>0</v>
      </c>
      <c r="K336" s="9">
        <f t="shared" si="100"/>
        <v>32014</v>
      </c>
      <c r="L336" s="5"/>
    </row>
    <row r="337" spans="1:12" x14ac:dyDescent="0.25">
      <c r="A337" s="3" t="s">
        <v>392</v>
      </c>
      <c r="B337" s="3" t="s">
        <v>393</v>
      </c>
      <c r="C337" s="5">
        <v>0</v>
      </c>
      <c r="D337" s="5">
        <v>816</v>
      </c>
      <c r="E337" s="5">
        <v>0</v>
      </c>
      <c r="F337" s="5">
        <v>0</v>
      </c>
      <c r="G337" s="5">
        <v>0</v>
      </c>
      <c r="H337" s="5">
        <v>423</v>
      </c>
      <c r="I337" s="5">
        <v>0</v>
      </c>
      <c r="J337" s="5">
        <v>0</v>
      </c>
      <c r="K337" s="9">
        <f t="shared" si="100"/>
        <v>1239</v>
      </c>
      <c r="L337" s="5"/>
    </row>
    <row r="338" spans="1:12" x14ac:dyDescent="0.25">
      <c r="A338" s="3" t="s">
        <v>394</v>
      </c>
      <c r="B338" s="3" t="s">
        <v>329</v>
      </c>
      <c r="C338" s="5">
        <v>0</v>
      </c>
      <c r="D338" s="5">
        <v>7199</v>
      </c>
      <c r="E338" s="5">
        <v>0</v>
      </c>
      <c r="F338" s="5">
        <v>0</v>
      </c>
      <c r="G338" s="5">
        <v>0</v>
      </c>
      <c r="H338" s="5">
        <v>11549</v>
      </c>
      <c r="I338" s="5">
        <v>0</v>
      </c>
      <c r="J338" s="5">
        <v>0</v>
      </c>
      <c r="K338" s="9">
        <f t="shared" si="100"/>
        <v>18748</v>
      </c>
      <c r="L338" s="5"/>
    </row>
    <row r="339" spans="1:12" x14ac:dyDescent="0.25">
      <c r="A339" s="3"/>
      <c r="B339" s="6" t="s">
        <v>395</v>
      </c>
      <c r="C339" s="14">
        <f t="shared" ref="C339:J339" si="101">SUBTOTAL(9,C340:C341)</f>
        <v>0</v>
      </c>
      <c r="D339" s="14">
        <f t="shared" si="101"/>
        <v>2359</v>
      </c>
      <c r="E339" s="14">
        <f t="shared" si="101"/>
        <v>0</v>
      </c>
      <c r="F339" s="14">
        <f t="shared" si="101"/>
        <v>0</v>
      </c>
      <c r="G339" s="14">
        <f t="shared" si="101"/>
        <v>0</v>
      </c>
      <c r="H339" s="14">
        <f t="shared" si="101"/>
        <v>23608</v>
      </c>
      <c r="I339" s="14">
        <f t="shared" si="101"/>
        <v>0</v>
      </c>
      <c r="J339" s="14">
        <f t="shared" si="101"/>
        <v>0</v>
      </c>
      <c r="K339" s="12">
        <f>SUBTOTAL(9,K340:K341)</f>
        <v>25967</v>
      </c>
      <c r="L339" s="5"/>
    </row>
    <row r="340" spans="1:12" x14ac:dyDescent="0.25">
      <c r="A340" s="3" t="s">
        <v>310</v>
      </c>
      <c r="B340" s="3" t="s">
        <v>311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23577</v>
      </c>
      <c r="I340" s="5">
        <v>0</v>
      </c>
      <c r="J340" s="5">
        <v>0</v>
      </c>
      <c r="K340" s="9">
        <f t="shared" ref="K340:K341" si="102">SUM(C340:J340)</f>
        <v>23577</v>
      </c>
      <c r="L340" s="5"/>
    </row>
    <row r="341" spans="1:12" x14ac:dyDescent="0.25">
      <c r="A341" s="3" t="s">
        <v>312</v>
      </c>
      <c r="B341" s="3" t="s">
        <v>313</v>
      </c>
      <c r="C341" s="5">
        <v>0</v>
      </c>
      <c r="D341" s="5">
        <v>2359</v>
      </c>
      <c r="E341" s="5">
        <v>0</v>
      </c>
      <c r="F341" s="5">
        <v>0</v>
      </c>
      <c r="G341" s="5">
        <v>0</v>
      </c>
      <c r="H341" s="5">
        <v>31</v>
      </c>
      <c r="I341" s="5">
        <v>0</v>
      </c>
      <c r="J341" s="5">
        <v>0</v>
      </c>
      <c r="K341" s="9">
        <f t="shared" si="102"/>
        <v>2390</v>
      </c>
      <c r="L341" s="5"/>
    </row>
    <row r="342" spans="1:12" x14ac:dyDescent="0.25">
      <c r="A342" s="3"/>
      <c r="B342" s="6" t="s">
        <v>379</v>
      </c>
      <c r="C342" s="14">
        <f t="shared" ref="C342:J342" si="103">SUBTOTAL(9,C343:C344)</f>
        <v>0</v>
      </c>
      <c r="D342" s="14">
        <f t="shared" si="103"/>
        <v>1163</v>
      </c>
      <c r="E342" s="14">
        <f t="shared" si="103"/>
        <v>0</v>
      </c>
      <c r="F342" s="14">
        <f t="shared" si="103"/>
        <v>0</v>
      </c>
      <c r="G342" s="14">
        <f t="shared" si="103"/>
        <v>0</v>
      </c>
      <c r="H342" s="14">
        <f t="shared" si="103"/>
        <v>9891</v>
      </c>
      <c r="I342" s="14">
        <f t="shared" si="103"/>
        <v>0</v>
      </c>
      <c r="J342" s="14">
        <f t="shared" si="103"/>
        <v>0</v>
      </c>
      <c r="K342" s="12">
        <f>SUBTOTAL(9,K343:K344)</f>
        <v>11054</v>
      </c>
      <c r="L342" s="5"/>
    </row>
    <row r="343" spans="1:12" x14ac:dyDescent="0.25">
      <c r="A343" s="3" t="s">
        <v>197</v>
      </c>
      <c r="B343" s="3" t="s">
        <v>198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9874</v>
      </c>
      <c r="I343" s="5">
        <v>0</v>
      </c>
      <c r="J343" s="5">
        <v>0</v>
      </c>
      <c r="K343" s="9">
        <f t="shared" ref="K343:K344" si="104">SUM(C343:J343)</f>
        <v>9874</v>
      </c>
      <c r="L343" s="5"/>
    </row>
    <row r="344" spans="1:12" x14ac:dyDescent="0.25">
      <c r="A344" s="3" t="s">
        <v>199</v>
      </c>
      <c r="B344" s="3" t="s">
        <v>200</v>
      </c>
      <c r="C344" s="5">
        <v>0</v>
      </c>
      <c r="D344" s="5">
        <v>1163</v>
      </c>
      <c r="E344" s="5">
        <v>0</v>
      </c>
      <c r="F344" s="5">
        <v>0</v>
      </c>
      <c r="G344" s="5">
        <v>0</v>
      </c>
      <c r="H344" s="5">
        <v>17</v>
      </c>
      <c r="I344" s="5">
        <v>0</v>
      </c>
      <c r="J344" s="5">
        <v>0</v>
      </c>
      <c r="K344" s="9">
        <f t="shared" si="104"/>
        <v>1180</v>
      </c>
      <c r="L344" s="5"/>
    </row>
    <row r="345" spans="1:12" x14ac:dyDescent="0.25">
      <c r="A345" s="3"/>
      <c r="B345" s="6" t="s">
        <v>314</v>
      </c>
      <c r="C345" s="14">
        <f t="shared" ref="C345:J345" si="105">SUBTOTAL(9,C346:C348)</f>
        <v>0</v>
      </c>
      <c r="D345" s="14">
        <f t="shared" si="105"/>
        <v>2019</v>
      </c>
      <c r="E345" s="14">
        <f t="shared" si="105"/>
        <v>0</v>
      </c>
      <c r="F345" s="14">
        <f t="shared" si="105"/>
        <v>0</v>
      </c>
      <c r="G345" s="14">
        <f t="shared" si="105"/>
        <v>0</v>
      </c>
      <c r="H345" s="14">
        <f t="shared" si="105"/>
        <v>8844</v>
      </c>
      <c r="I345" s="14">
        <f t="shared" si="105"/>
        <v>0</v>
      </c>
      <c r="J345" s="14">
        <f t="shared" si="105"/>
        <v>0</v>
      </c>
      <c r="K345" s="12">
        <f>SUBTOTAL(9,K346:K348)</f>
        <v>10863</v>
      </c>
      <c r="L345" s="5"/>
    </row>
    <row r="346" spans="1:12" x14ac:dyDescent="0.25">
      <c r="A346" s="3" t="s">
        <v>396</v>
      </c>
      <c r="B346" s="3" t="s">
        <v>314</v>
      </c>
      <c r="C346" s="5">
        <v>0</v>
      </c>
      <c r="D346" s="5">
        <v>1013</v>
      </c>
      <c r="E346" s="5">
        <v>0</v>
      </c>
      <c r="F346" s="5">
        <v>0</v>
      </c>
      <c r="G346" s="5">
        <v>0</v>
      </c>
      <c r="H346" s="5">
        <v>6797</v>
      </c>
      <c r="I346" s="5">
        <v>0</v>
      </c>
      <c r="J346" s="5">
        <v>0</v>
      </c>
      <c r="K346" s="9">
        <f t="shared" ref="K346:K348" si="106">SUM(C346:J346)</f>
        <v>7810</v>
      </c>
      <c r="L346" s="5"/>
    </row>
    <row r="347" spans="1:12" x14ac:dyDescent="0.25">
      <c r="A347" s="3" t="s">
        <v>319</v>
      </c>
      <c r="B347" s="3" t="s">
        <v>320</v>
      </c>
      <c r="C347" s="5">
        <v>0</v>
      </c>
      <c r="D347" s="5">
        <v>458</v>
      </c>
      <c r="E347" s="5">
        <v>0</v>
      </c>
      <c r="F347" s="5">
        <v>0</v>
      </c>
      <c r="G347" s="5">
        <v>0</v>
      </c>
      <c r="H347" s="5">
        <v>1443</v>
      </c>
      <c r="I347" s="5">
        <v>0</v>
      </c>
      <c r="J347" s="5">
        <v>0</v>
      </c>
      <c r="K347" s="9">
        <f t="shared" si="106"/>
        <v>1901</v>
      </c>
      <c r="L347" s="5"/>
    </row>
    <row r="348" spans="1:12" x14ac:dyDescent="0.25">
      <c r="A348" s="3" t="s">
        <v>321</v>
      </c>
      <c r="B348" s="3" t="s">
        <v>322</v>
      </c>
      <c r="C348" s="5">
        <v>0</v>
      </c>
      <c r="D348" s="5">
        <v>548</v>
      </c>
      <c r="E348" s="5">
        <v>0</v>
      </c>
      <c r="F348" s="5">
        <v>0</v>
      </c>
      <c r="G348" s="5">
        <v>0</v>
      </c>
      <c r="H348" s="5">
        <v>604</v>
      </c>
      <c r="I348" s="5">
        <v>0</v>
      </c>
      <c r="J348" s="5">
        <v>0</v>
      </c>
      <c r="K348" s="9">
        <f t="shared" si="106"/>
        <v>1152</v>
      </c>
      <c r="L348" s="5"/>
    </row>
    <row r="349" spans="1:12" x14ac:dyDescent="0.25">
      <c r="A349" s="3"/>
      <c r="B349" s="6" t="s">
        <v>397</v>
      </c>
      <c r="C349" s="14">
        <f t="shared" ref="C349:J349" si="107">SUBTOTAL(9,C350:C354)</f>
        <v>0</v>
      </c>
      <c r="D349" s="14">
        <f t="shared" si="107"/>
        <v>28120</v>
      </c>
      <c r="E349" s="14">
        <f t="shared" si="107"/>
        <v>576</v>
      </c>
      <c r="F349" s="14">
        <f t="shared" si="107"/>
        <v>21815</v>
      </c>
      <c r="G349" s="14">
        <f t="shared" si="107"/>
        <v>33551</v>
      </c>
      <c r="H349" s="14">
        <f t="shared" si="107"/>
        <v>2828</v>
      </c>
      <c r="I349" s="14">
        <f t="shared" si="107"/>
        <v>0</v>
      </c>
      <c r="J349" s="14">
        <f t="shared" si="107"/>
        <v>0</v>
      </c>
      <c r="K349" s="12">
        <f>SUBTOTAL(9,K350:K354)</f>
        <v>86890</v>
      </c>
      <c r="L349" s="5"/>
    </row>
    <row r="350" spans="1:12" x14ac:dyDescent="0.25">
      <c r="A350" s="3" t="s">
        <v>325</v>
      </c>
      <c r="B350" s="3" t="s">
        <v>265</v>
      </c>
      <c r="C350" s="5">
        <v>0</v>
      </c>
      <c r="D350" s="5">
        <v>8413</v>
      </c>
      <c r="E350" s="5">
        <v>576</v>
      </c>
      <c r="F350" s="5">
        <v>21815</v>
      </c>
      <c r="G350" s="5">
        <v>0</v>
      </c>
      <c r="H350" s="5">
        <v>1320</v>
      </c>
      <c r="I350" s="5">
        <v>0</v>
      </c>
      <c r="J350" s="5">
        <v>0</v>
      </c>
      <c r="K350" s="9">
        <f t="shared" ref="K350:K354" si="108">SUM(C350:J350)</f>
        <v>32124</v>
      </c>
      <c r="L350" s="5"/>
    </row>
    <row r="351" spans="1:12" x14ac:dyDescent="0.25">
      <c r="A351" s="3" t="s">
        <v>326</v>
      </c>
      <c r="B351" s="3" t="s">
        <v>327</v>
      </c>
      <c r="C351" s="5">
        <v>0</v>
      </c>
      <c r="D351" s="5">
        <v>13577</v>
      </c>
      <c r="E351" s="5">
        <v>0</v>
      </c>
      <c r="F351" s="5">
        <v>0</v>
      </c>
      <c r="G351" s="5">
        <v>33551</v>
      </c>
      <c r="H351" s="5">
        <v>0</v>
      </c>
      <c r="I351" s="5">
        <v>0</v>
      </c>
      <c r="J351" s="5">
        <v>0</v>
      </c>
      <c r="K351" s="9">
        <f t="shared" si="108"/>
        <v>47128</v>
      </c>
      <c r="L351" s="5"/>
    </row>
    <row r="352" spans="1:12" x14ac:dyDescent="0.25">
      <c r="A352" s="3" t="s">
        <v>328</v>
      </c>
      <c r="B352" s="3" t="s">
        <v>329</v>
      </c>
      <c r="C352" s="5">
        <v>0</v>
      </c>
      <c r="D352" s="5">
        <v>3306</v>
      </c>
      <c r="E352" s="5">
        <v>0</v>
      </c>
      <c r="F352" s="5">
        <v>0</v>
      </c>
      <c r="G352" s="5">
        <v>0</v>
      </c>
      <c r="H352" s="5">
        <v>931</v>
      </c>
      <c r="I352" s="5">
        <v>0</v>
      </c>
      <c r="J352" s="5">
        <v>0</v>
      </c>
      <c r="K352" s="9">
        <f t="shared" si="108"/>
        <v>4237</v>
      </c>
      <c r="L352" s="5"/>
    </row>
    <row r="353" spans="1:12" x14ac:dyDescent="0.25">
      <c r="A353" s="3" t="s">
        <v>330</v>
      </c>
      <c r="B353" s="3" t="s">
        <v>331</v>
      </c>
      <c r="C353" s="5">
        <v>0</v>
      </c>
      <c r="D353" s="5">
        <v>2408</v>
      </c>
      <c r="E353" s="5">
        <v>0</v>
      </c>
      <c r="F353" s="5">
        <v>0</v>
      </c>
      <c r="G353" s="5">
        <v>0</v>
      </c>
      <c r="H353" s="5">
        <v>395</v>
      </c>
      <c r="I353" s="5">
        <v>0</v>
      </c>
      <c r="J353" s="5">
        <v>0</v>
      </c>
      <c r="K353" s="9">
        <f t="shared" si="108"/>
        <v>2803</v>
      </c>
      <c r="L353" s="5"/>
    </row>
    <row r="354" spans="1:12" x14ac:dyDescent="0.25">
      <c r="A354" s="3" t="s">
        <v>332</v>
      </c>
      <c r="B354" s="3" t="s">
        <v>333</v>
      </c>
      <c r="C354" s="5">
        <v>0</v>
      </c>
      <c r="D354" s="5">
        <v>416</v>
      </c>
      <c r="E354" s="5">
        <v>0</v>
      </c>
      <c r="F354" s="5">
        <v>0</v>
      </c>
      <c r="G354" s="5">
        <v>0</v>
      </c>
      <c r="H354" s="5">
        <v>182</v>
      </c>
      <c r="I354" s="5">
        <v>0</v>
      </c>
      <c r="J354" s="5">
        <v>0</v>
      </c>
      <c r="K354" s="9">
        <f t="shared" si="108"/>
        <v>598</v>
      </c>
      <c r="L354" s="5"/>
    </row>
    <row r="355" spans="1:12" x14ac:dyDescent="0.25">
      <c r="A355" s="3"/>
      <c r="B355" s="6" t="s">
        <v>398</v>
      </c>
      <c r="C355" s="14">
        <f t="shared" ref="C355:J355" si="109">SUBTOTAL(9,C356:C361)</f>
        <v>0</v>
      </c>
      <c r="D355" s="14">
        <f t="shared" si="109"/>
        <v>32722</v>
      </c>
      <c r="E355" s="14">
        <f t="shared" si="109"/>
        <v>3701</v>
      </c>
      <c r="F355" s="14">
        <f t="shared" si="109"/>
        <v>24040</v>
      </c>
      <c r="G355" s="14">
        <f t="shared" si="109"/>
        <v>21241</v>
      </c>
      <c r="H355" s="14">
        <f t="shared" si="109"/>
        <v>12402</v>
      </c>
      <c r="I355" s="14">
        <f t="shared" si="109"/>
        <v>0</v>
      </c>
      <c r="J355" s="14">
        <f t="shared" si="109"/>
        <v>0</v>
      </c>
      <c r="K355" s="12">
        <f>SUBTOTAL(9,K356:K361)</f>
        <v>94106</v>
      </c>
      <c r="L355" s="5"/>
    </row>
    <row r="356" spans="1:12" x14ac:dyDescent="0.25">
      <c r="A356" s="3" t="s">
        <v>325</v>
      </c>
      <c r="B356" s="3" t="s">
        <v>265</v>
      </c>
      <c r="C356" s="5">
        <v>0</v>
      </c>
      <c r="D356" s="5">
        <v>8909</v>
      </c>
      <c r="E356" s="5">
        <v>539</v>
      </c>
      <c r="F356" s="5">
        <v>24040</v>
      </c>
      <c r="G356" s="5">
        <v>0</v>
      </c>
      <c r="H356" s="5">
        <v>1532</v>
      </c>
      <c r="I356" s="5">
        <v>0</v>
      </c>
      <c r="J356" s="5">
        <v>0</v>
      </c>
      <c r="K356" s="9">
        <f t="shared" ref="K356:K361" si="110">SUM(C356:J356)</f>
        <v>35020</v>
      </c>
      <c r="L356" s="5"/>
    </row>
    <row r="357" spans="1:12" x14ac:dyDescent="0.25">
      <c r="A357" s="3" t="s">
        <v>326</v>
      </c>
      <c r="B357" s="3" t="s">
        <v>327</v>
      </c>
      <c r="C357" s="5">
        <v>0</v>
      </c>
      <c r="D357" s="5">
        <v>10323</v>
      </c>
      <c r="E357" s="5">
        <v>0</v>
      </c>
      <c r="F357" s="5">
        <v>0</v>
      </c>
      <c r="G357" s="5">
        <v>21241</v>
      </c>
      <c r="H357" s="5">
        <v>0</v>
      </c>
      <c r="I357" s="5">
        <v>0</v>
      </c>
      <c r="J357" s="5">
        <v>0</v>
      </c>
      <c r="K357" s="9">
        <f t="shared" si="110"/>
        <v>31564</v>
      </c>
      <c r="L357" s="5"/>
    </row>
    <row r="358" spans="1:12" x14ac:dyDescent="0.25">
      <c r="A358" s="3" t="s">
        <v>328</v>
      </c>
      <c r="B358" s="3" t="s">
        <v>329</v>
      </c>
      <c r="C358" s="5">
        <v>0</v>
      </c>
      <c r="D358" s="5">
        <v>4134</v>
      </c>
      <c r="E358" s="5">
        <v>0</v>
      </c>
      <c r="F358" s="5">
        <v>0</v>
      </c>
      <c r="G358" s="5">
        <v>0</v>
      </c>
      <c r="H358" s="5">
        <v>1159</v>
      </c>
      <c r="I358" s="5">
        <v>0</v>
      </c>
      <c r="J358" s="5">
        <v>0</v>
      </c>
      <c r="K358" s="9">
        <f t="shared" si="110"/>
        <v>5293</v>
      </c>
      <c r="L358" s="5"/>
    </row>
    <row r="359" spans="1:12" x14ac:dyDescent="0.25">
      <c r="A359" s="3" t="s">
        <v>399</v>
      </c>
      <c r="B359" s="3" t="s">
        <v>331</v>
      </c>
      <c r="C359" s="5">
        <v>0</v>
      </c>
      <c r="D359" s="5">
        <v>2996</v>
      </c>
      <c r="E359" s="5">
        <v>0</v>
      </c>
      <c r="F359" s="5">
        <v>0</v>
      </c>
      <c r="G359" s="5">
        <v>0</v>
      </c>
      <c r="H359" s="5">
        <v>457</v>
      </c>
      <c r="I359" s="5">
        <v>0</v>
      </c>
      <c r="J359" s="5">
        <v>0</v>
      </c>
      <c r="K359" s="9">
        <f t="shared" si="110"/>
        <v>3453</v>
      </c>
      <c r="L359" s="5"/>
    </row>
    <row r="360" spans="1:12" x14ac:dyDescent="0.25">
      <c r="A360" s="3" t="s">
        <v>400</v>
      </c>
      <c r="B360" s="3" t="s">
        <v>401</v>
      </c>
      <c r="C360" s="5">
        <v>0</v>
      </c>
      <c r="D360" s="5">
        <v>1627</v>
      </c>
      <c r="E360" s="5">
        <v>1082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9">
        <f t="shared" si="110"/>
        <v>2709</v>
      </c>
      <c r="L360" s="5"/>
    </row>
    <row r="361" spans="1:12" x14ac:dyDescent="0.25">
      <c r="A361" s="3" t="s">
        <v>402</v>
      </c>
      <c r="B361" s="3" t="s">
        <v>403</v>
      </c>
      <c r="C361" s="5">
        <v>0</v>
      </c>
      <c r="D361" s="5">
        <v>4733</v>
      </c>
      <c r="E361" s="5">
        <v>2080</v>
      </c>
      <c r="F361" s="5">
        <v>0</v>
      </c>
      <c r="G361" s="5">
        <v>0</v>
      </c>
      <c r="H361" s="5">
        <v>9254</v>
      </c>
      <c r="I361" s="5">
        <v>0</v>
      </c>
      <c r="J361" s="5">
        <v>0</v>
      </c>
      <c r="K361" s="9">
        <f t="shared" si="110"/>
        <v>16067</v>
      </c>
      <c r="L361" s="5"/>
    </row>
    <row r="362" spans="1:12" x14ac:dyDescent="0.25">
      <c r="A362" s="3"/>
      <c r="C362" s="5"/>
      <c r="D362" s="5"/>
      <c r="E362" s="5"/>
      <c r="F362" s="5"/>
      <c r="G362" s="5"/>
      <c r="H362" s="5"/>
      <c r="I362" s="5"/>
      <c r="J362" s="5"/>
      <c r="K362" s="5"/>
    </row>
    <row r="363" spans="1:12" x14ac:dyDescent="0.25">
      <c r="A363" s="3"/>
      <c r="C363" s="5"/>
      <c r="D363" s="5"/>
      <c r="E363" s="5"/>
      <c r="F363" s="5"/>
      <c r="G363" s="5"/>
      <c r="H363" s="5"/>
      <c r="I363" s="5"/>
      <c r="J363" s="5"/>
      <c r="K363" s="5"/>
    </row>
    <row r="364" spans="1:12" x14ac:dyDescent="0.25">
      <c r="C364" s="5"/>
      <c r="D364" s="5"/>
      <c r="E364" s="5"/>
      <c r="F364" s="5"/>
      <c r="G364" s="5"/>
      <c r="H364" s="5"/>
      <c r="I364" s="5"/>
      <c r="J364" s="5"/>
      <c r="K364" s="5"/>
    </row>
    <row r="365" spans="1:12" ht="13.8" thickBot="1" x14ac:dyDescent="0.3">
      <c r="B365" t="s">
        <v>456</v>
      </c>
      <c r="C365" s="10">
        <f>SUBTOTAL(9,C3:C361)</f>
        <v>8458570</v>
      </c>
      <c r="D365" s="10">
        <f t="shared" ref="D365:K365" si="111">SUBTOTAL(9,D3:D361)</f>
        <v>10793408</v>
      </c>
      <c r="E365" s="10">
        <f t="shared" si="111"/>
        <v>5002457</v>
      </c>
      <c r="F365" s="10">
        <f t="shared" si="111"/>
        <v>4901875</v>
      </c>
      <c r="G365" s="10">
        <f t="shared" si="111"/>
        <v>4973734</v>
      </c>
      <c r="H365" s="10">
        <f t="shared" si="111"/>
        <v>6752934</v>
      </c>
      <c r="I365" s="10">
        <f t="shared" si="111"/>
        <v>6810515</v>
      </c>
      <c r="J365" s="10">
        <f t="shared" si="111"/>
        <v>8730183</v>
      </c>
      <c r="K365" s="11">
        <f t="shared" si="111"/>
        <v>56423676</v>
      </c>
    </row>
    <row r="366" spans="1:12" ht="13.8" thickTop="1" x14ac:dyDescent="0.25"/>
  </sheetData>
  <mergeCells count="1">
    <mergeCell ref="F1:H1"/>
  </mergeCells>
  <pageMargins left="0.75" right="0.75" top="1" bottom="1" header="0.5" footer="0.5"/>
  <pageSetup paperSize="9" scale="62" orientation="portrait" r:id="rId1"/>
  <headerFooter alignWithMargins="0">
    <oddFooter>&amp;LBroadleaf Capital International Pty Ltd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4"/>
  <sheetViews>
    <sheetView zoomScaleNormal="100" workbookViewId="0">
      <selection activeCell="B31" sqref="B31"/>
    </sheetView>
  </sheetViews>
  <sheetFormatPr defaultRowHeight="13.2" x14ac:dyDescent="0.25"/>
  <cols>
    <col min="1" max="1" width="8.21875" bestFit="1" customWidth="1"/>
    <col min="2" max="2" width="38.33203125" bestFit="1" customWidth="1"/>
    <col min="3" max="4" width="14.109375" bestFit="1" customWidth="1"/>
    <col min="5" max="5" width="12.44140625" bestFit="1" customWidth="1"/>
    <col min="6" max="7" width="14.109375" bestFit="1" customWidth="1"/>
    <col min="8" max="8" width="12.44140625" bestFit="1" customWidth="1"/>
    <col min="9" max="10" width="14.109375" bestFit="1" customWidth="1"/>
    <col min="11" max="11" width="17" customWidth="1"/>
  </cols>
  <sheetData>
    <row r="1" spans="1:12" x14ac:dyDescent="0.25">
      <c r="F1" s="79" t="s">
        <v>0</v>
      </c>
      <c r="G1" s="79"/>
      <c r="H1" s="79"/>
    </row>
    <row r="2" spans="1:12" x14ac:dyDescent="0.25">
      <c r="A2" s="1"/>
      <c r="C2" s="1" t="s">
        <v>1</v>
      </c>
      <c r="D2" s="1" t="s">
        <v>2</v>
      </c>
      <c r="E2" s="1" t="s">
        <v>3</v>
      </c>
      <c r="F2" t="s">
        <v>4</v>
      </c>
      <c r="G2" t="s">
        <v>5</v>
      </c>
      <c r="H2" t="s">
        <v>6</v>
      </c>
      <c r="I2" s="1" t="s">
        <v>7</v>
      </c>
      <c r="J2" s="1" t="s">
        <v>8</v>
      </c>
      <c r="K2" s="19" t="s">
        <v>9</v>
      </c>
    </row>
    <row r="3" spans="1:12" x14ac:dyDescent="0.25">
      <c r="A3" s="3"/>
      <c r="B3" s="4" t="s">
        <v>10</v>
      </c>
      <c r="C3" s="15">
        <f>Estimate!C3</f>
        <v>0</v>
      </c>
      <c r="D3" s="15">
        <f>Estimate!D3</f>
        <v>0</v>
      </c>
      <c r="E3" s="15">
        <f>Estimate!E3</f>
        <v>0</v>
      </c>
      <c r="F3" s="15">
        <f>Estimate!F3</f>
        <v>0</v>
      </c>
      <c r="G3" s="15">
        <f>Estimate!G3</f>
        <v>0</v>
      </c>
      <c r="H3" s="15">
        <f>Estimate!H3</f>
        <v>0</v>
      </c>
      <c r="I3" s="15">
        <f>Estimate!I3</f>
        <v>0</v>
      </c>
      <c r="J3" s="15">
        <f>Estimate!J3</f>
        <v>6374775</v>
      </c>
      <c r="K3" s="16">
        <f>SUM(C3:J3)</f>
        <v>6374775</v>
      </c>
      <c r="L3" s="5"/>
    </row>
    <row r="4" spans="1:12" x14ac:dyDescent="0.25">
      <c r="A4" s="3"/>
      <c r="B4" s="4" t="s">
        <v>15</v>
      </c>
      <c r="C4" s="15">
        <f>Estimate!C8</f>
        <v>0</v>
      </c>
      <c r="D4" s="15">
        <f>Estimate!D8</f>
        <v>153863</v>
      </c>
      <c r="E4" s="15">
        <f>Estimate!E8</f>
        <v>146669</v>
      </c>
      <c r="F4" s="15">
        <f>Estimate!F8</f>
        <v>1808144</v>
      </c>
      <c r="G4" s="15">
        <f>Estimate!G8</f>
        <v>0</v>
      </c>
      <c r="H4" s="15">
        <f>Estimate!H8</f>
        <v>0</v>
      </c>
      <c r="I4" s="15">
        <f>Estimate!I8</f>
        <v>0</v>
      </c>
      <c r="J4" s="15">
        <f>Estimate!J8</f>
        <v>820776</v>
      </c>
      <c r="K4" s="15">
        <f>Estimate!K8</f>
        <v>2929452</v>
      </c>
      <c r="L4" s="5"/>
    </row>
    <row r="5" spans="1:12" x14ac:dyDescent="0.25">
      <c r="A5" s="3"/>
      <c r="B5" s="4" t="s">
        <v>26</v>
      </c>
      <c r="C5" s="15"/>
      <c r="D5" s="15"/>
      <c r="E5" s="15"/>
      <c r="F5" s="15"/>
      <c r="G5" s="15"/>
      <c r="H5" s="15"/>
      <c r="I5" s="15"/>
      <c r="J5" s="15"/>
      <c r="K5" s="16"/>
      <c r="L5" s="5"/>
    </row>
    <row r="6" spans="1:12" x14ac:dyDescent="0.25">
      <c r="A6" s="3"/>
      <c r="B6" s="3" t="s">
        <v>519</v>
      </c>
      <c r="C6" s="3">
        <f>SUM(Estimate!C15,Estimate!C18)</f>
        <v>8829</v>
      </c>
      <c r="D6" s="3">
        <f>SUM(Estimate!D15,Estimate!D18)</f>
        <v>83777</v>
      </c>
      <c r="E6" s="3">
        <f>SUM(Estimate!E15,Estimate!E18)</f>
        <v>69473</v>
      </c>
      <c r="F6" s="3">
        <f>SUM(Estimate!F15,Estimate!F18)</f>
        <v>443</v>
      </c>
      <c r="G6" s="3">
        <f>SUM(Estimate!G15,Estimate!G18)</f>
        <v>0</v>
      </c>
      <c r="H6" s="3">
        <f>SUM(Estimate!H15,Estimate!H18)</f>
        <v>137686</v>
      </c>
      <c r="I6" s="3">
        <f>SUM(Estimate!I15,Estimate!I18)</f>
        <v>584465</v>
      </c>
      <c r="J6" s="3">
        <f>SUM(Estimate!J15,Estimate!J18)</f>
        <v>0</v>
      </c>
      <c r="K6" s="3">
        <f t="shared" ref="K6:K7" si="0">SUM(C6:J6)</f>
        <v>884673</v>
      </c>
      <c r="L6" s="3"/>
    </row>
    <row r="7" spans="1:12" x14ac:dyDescent="0.25">
      <c r="A7" s="3"/>
      <c r="B7" s="3" t="s">
        <v>520</v>
      </c>
      <c r="C7" s="3">
        <f>SUM(Estimate!C29,Estimate!C42,Estimate!C57,Estimate!C60,Estimate!C64)</f>
        <v>6114003</v>
      </c>
      <c r="D7" s="3">
        <f>SUM(Estimate!D29,Estimate!D42,Estimate!D57,Estimate!D60,Estimate!D64)</f>
        <v>55751</v>
      </c>
      <c r="E7" s="3">
        <f>SUM(Estimate!E29,Estimate!E42,Estimate!E57,Estimate!E60,Estimate!E64)</f>
        <v>676040</v>
      </c>
      <c r="F7" s="3">
        <f>SUM(Estimate!F29,Estimate!F42,Estimate!F57,Estimate!F60,Estimate!F64)</f>
        <v>0</v>
      </c>
      <c r="G7" s="3">
        <f>SUM(Estimate!G29,Estimate!G42,Estimate!G57,Estimate!G60,Estimate!G64)</f>
        <v>0</v>
      </c>
      <c r="H7" s="3">
        <f>SUM(Estimate!H29,Estimate!H42,Estimate!H57,Estimate!H60,Estimate!H64)</f>
        <v>320000</v>
      </c>
      <c r="I7" s="3">
        <f>SUM(Estimate!I29,Estimate!I42,Estimate!I57,Estimate!I60,Estimate!I64)</f>
        <v>84816</v>
      </c>
      <c r="J7" s="3">
        <f>SUM(Estimate!J29,Estimate!J42,Estimate!J57,Estimate!J60,Estimate!J64)</f>
        <v>1083692</v>
      </c>
      <c r="K7" s="3">
        <f t="shared" si="0"/>
        <v>8334302</v>
      </c>
      <c r="L7" s="3"/>
    </row>
    <row r="8" spans="1:12" x14ac:dyDescent="0.25">
      <c r="A8" s="3"/>
      <c r="B8" s="4" t="s">
        <v>81</v>
      </c>
      <c r="C8" s="15"/>
      <c r="D8" s="15"/>
      <c r="E8" s="15"/>
      <c r="F8" s="15"/>
      <c r="G8" s="15"/>
      <c r="H8" s="15"/>
      <c r="I8" s="15"/>
      <c r="J8" s="15"/>
      <c r="K8" s="16"/>
      <c r="L8" s="5"/>
    </row>
    <row r="9" spans="1:12" x14ac:dyDescent="0.25">
      <c r="A9" s="3"/>
      <c r="B9" s="7" t="s">
        <v>82</v>
      </c>
      <c r="C9" s="17"/>
      <c r="D9" s="17"/>
      <c r="E9" s="17"/>
      <c r="F9" s="17"/>
      <c r="G9" s="17"/>
      <c r="H9" s="17"/>
      <c r="I9" s="17"/>
      <c r="J9" s="17"/>
      <c r="K9" s="17"/>
      <c r="L9" s="5"/>
    </row>
    <row r="10" spans="1:12" x14ac:dyDescent="0.25">
      <c r="A10" s="3"/>
      <c r="B10" s="6" t="s">
        <v>83</v>
      </c>
      <c r="C10" s="14">
        <f>Estimate!C76</f>
        <v>2103961</v>
      </c>
      <c r="D10" s="14">
        <f>Estimate!D76</f>
        <v>0</v>
      </c>
      <c r="E10" s="14">
        <f>Estimate!E76</f>
        <v>0</v>
      </c>
      <c r="F10" s="14">
        <f>Estimate!F76</f>
        <v>0</v>
      </c>
      <c r="G10" s="14">
        <f>Estimate!G76</f>
        <v>0</v>
      </c>
      <c r="H10" s="14">
        <f>Estimate!H76</f>
        <v>0</v>
      </c>
      <c r="I10" s="14">
        <f>Estimate!I76</f>
        <v>0</v>
      </c>
      <c r="J10" s="14">
        <f>Estimate!J76</f>
        <v>0</v>
      </c>
      <c r="K10" s="12">
        <f>SUM(C10:J10)</f>
        <v>2103961</v>
      </c>
      <c r="L10" s="5"/>
    </row>
    <row r="11" spans="1:12" x14ac:dyDescent="0.25">
      <c r="A11" s="3"/>
      <c r="B11" s="6" t="s">
        <v>457</v>
      </c>
      <c r="C11" s="14">
        <f>Estimate!C83</f>
        <v>0</v>
      </c>
      <c r="D11" s="14">
        <f>Estimate!D83</f>
        <v>2277480</v>
      </c>
      <c r="E11" s="14">
        <f>Estimate!E83</f>
        <v>1719349</v>
      </c>
      <c r="F11" s="14">
        <f>Estimate!F83</f>
        <v>0</v>
      </c>
      <c r="G11" s="14">
        <f>Estimate!G83</f>
        <v>0</v>
      </c>
      <c r="H11" s="14">
        <f>Estimate!H83</f>
        <v>499255</v>
      </c>
      <c r="I11" s="14">
        <f>Estimate!I83</f>
        <v>0</v>
      </c>
      <c r="J11" s="14">
        <f>Estimate!J83</f>
        <v>0</v>
      </c>
      <c r="K11" s="12">
        <f t="shared" ref="K11:K20" si="1">SUM(C11:J11)</f>
        <v>4496084</v>
      </c>
      <c r="L11" s="5"/>
    </row>
    <row r="12" spans="1:12" x14ac:dyDescent="0.25">
      <c r="A12" s="3"/>
      <c r="B12" s="6" t="s">
        <v>95</v>
      </c>
      <c r="C12" s="14">
        <f>Estimate!C90</f>
        <v>0</v>
      </c>
      <c r="D12" s="14">
        <f>Estimate!D90</f>
        <v>868124</v>
      </c>
      <c r="E12" s="14">
        <f>Estimate!E90</f>
        <v>472976</v>
      </c>
      <c r="F12" s="14">
        <f>Estimate!F90</f>
        <v>0</v>
      </c>
      <c r="G12" s="14">
        <f>Estimate!G90</f>
        <v>0</v>
      </c>
      <c r="H12" s="14">
        <f>Estimate!H90</f>
        <v>165435</v>
      </c>
      <c r="I12" s="14">
        <f>Estimate!I90</f>
        <v>10522</v>
      </c>
      <c r="J12" s="14">
        <f>Estimate!J90</f>
        <v>449451</v>
      </c>
      <c r="K12" s="12">
        <f t="shared" si="1"/>
        <v>1966508</v>
      </c>
      <c r="L12" s="5"/>
    </row>
    <row r="13" spans="1:12" x14ac:dyDescent="0.25">
      <c r="A13" s="3"/>
      <c r="B13" s="6" t="s">
        <v>100</v>
      </c>
      <c r="C13" s="14">
        <f>Estimate!C96</f>
        <v>231777</v>
      </c>
      <c r="D13" s="14">
        <f>Estimate!D96</f>
        <v>30299</v>
      </c>
      <c r="E13" s="14">
        <f>Estimate!E96</f>
        <v>0</v>
      </c>
      <c r="F13" s="14">
        <f>Estimate!F96</f>
        <v>0</v>
      </c>
      <c r="G13" s="14">
        <f>Estimate!G96</f>
        <v>0</v>
      </c>
      <c r="H13" s="14">
        <f>Estimate!H96</f>
        <v>62559</v>
      </c>
      <c r="I13" s="14">
        <f>Estimate!I96</f>
        <v>0</v>
      </c>
      <c r="J13" s="14">
        <f>Estimate!J96</f>
        <v>0</v>
      </c>
      <c r="K13" s="12">
        <f t="shared" si="1"/>
        <v>324635</v>
      </c>
      <c r="L13" s="5"/>
    </row>
    <row r="14" spans="1:12" x14ac:dyDescent="0.25">
      <c r="A14" s="3"/>
      <c r="B14" s="6" t="s">
        <v>101</v>
      </c>
      <c r="C14" s="14">
        <f>Estimate!C99</f>
        <v>0</v>
      </c>
      <c r="D14" s="14">
        <f>Estimate!D99</f>
        <v>2418</v>
      </c>
      <c r="E14" s="14">
        <f>Estimate!E99</f>
        <v>1341</v>
      </c>
      <c r="F14" s="14">
        <f>Estimate!F99</f>
        <v>12523</v>
      </c>
      <c r="G14" s="14">
        <f>Estimate!G99</f>
        <v>0</v>
      </c>
      <c r="H14" s="14">
        <f>Estimate!H99</f>
        <v>885</v>
      </c>
      <c r="I14" s="14">
        <f>Estimate!I99</f>
        <v>108691</v>
      </c>
      <c r="J14" s="14">
        <f>Estimate!J99</f>
        <v>0</v>
      </c>
      <c r="K14" s="12">
        <f t="shared" si="1"/>
        <v>125858</v>
      </c>
      <c r="L14" s="5"/>
    </row>
    <row r="15" spans="1:12" x14ac:dyDescent="0.25">
      <c r="A15" s="3"/>
      <c r="B15" s="6" t="s">
        <v>110</v>
      </c>
      <c r="C15" s="14">
        <f>Estimate!C106</f>
        <v>0</v>
      </c>
      <c r="D15" s="14">
        <f>Estimate!D106</f>
        <v>191007</v>
      </c>
      <c r="E15" s="14">
        <f>Estimate!E106</f>
        <v>143782</v>
      </c>
      <c r="F15" s="14">
        <f>Estimate!F106</f>
        <v>0</v>
      </c>
      <c r="G15" s="14">
        <f>Estimate!G106</f>
        <v>0</v>
      </c>
      <c r="H15" s="14">
        <f>Estimate!H106</f>
        <v>0</v>
      </c>
      <c r="I15" s="14">
        <f>Estimate!I106</f>
        <v>799445</v>
      </c>
      <c r="J15" s="14">
        <f>Estimate!J106</f>
        <v>0</v>
      </c>
      <c r="K15" s="12">
        <f t="shared" si="1"/>
        <v>1134234</v>
      </c>
      <c r="L15" s="5"/>
    </row>
    <row r="16" spans="1:12" x14ac:dyDescent="0.25">
      <c r="A16" s="3"/>
      <c r="B16" s="6" t="s">
        <v>124</v>
      </c>
      <c r="C16" s="14">
        <f>Estimate!C117</f>
        <v>0</v>
      </c>
      <c r="D16" s="14">
        <f>Estimate!D117</f>
        <v>0</v>
      </c>
      <c r="E16" s="14">
        <f>Estimate!E117</f>
        <v>0</v>
      </c>
      <c r="F16" s="14">
        <f>Estimate!F117</f>
        <v>0</v>
      </c>
      <c r="G16" s="14">
        <f>Estimate!G117</f>
        <v>0</v>
      </c>
      <c r="H16" s="14">
        <f>Estimate!H117</f>
        <v>0</v>
      </c>
      <c r="I16" s="14">
        <f>Estimate!I117</f>
        <v>919039</v>
      </c>
      <c r="J16" s="14">
        <f>Estimate!J117</f>
        <v>0</v>
      </c>
      <c r="K16" s="12">
        <f t="shared" si="1"/>
        <v>919039</v>
      </c>
      <c r="L16" s="5"/>
    </row>
    <row r="17" spans="1:12" x14ac:dyDescent="0.25">
      <c r="A17" s="3"/>
      <c r="B17" s="6" t="s">
        <v>135</v>
      </c>
      <c r="C17" s="14">
        <f>Estimate!C123</f>
        <v>0</v>
      </c>
      <c r="D17" s="14">
        <f>Estimate!D123</f>
        <v>128223</v>
      </c>
      <c r="E17" s="14">
        <f>Estimate!E123</f>
        <v>1079</v>
      </c>
      <c r="F17" s="14">
        <f>Estimate!F123</f>
        <v>52090</v>
      </c>
      <c r="G17" s="14">
        <f>Estimate!G123</f>
        <v>0</v>
      </c>
      <c r="H17" s="14">
        <f>Estimate!H123</f>
        <v>277397</v>
      </c>
      <c r="I17" s="14">
        <f>Estimate!I123</f>
        <v>269276</v>
      </c>
      <c r="J17" s="14">
        <f>Estimate!J123</f>
        <v>0</v>
      </c>
      <c r="K17" s="12">
        <f t="shared" si="1"/>
        <v>728065</v>
      </c>
      <c r="L17" s="5"/>
    </row>
    <row r="18" spans="1:12" x14ac:dyDescent="0.25">
      <c r="A18" s="3"/>
      <c r="B18" s="6" t="s">
        <v>150</v>
      </c>
      <c r="C18" s="14">
        <f>Estimate!C131</f>
        <v>0</v>
      </c>
      <c r="D18" s="14">
        <f>Estimate!D131</f>
        <v>17537</v>
      </c>
      <c r="E18" s="14">
        <f>Estimate!E131</f>
        <v>14298</v>
      </c>
      <c r="F18" s="14">
        <f>Estimate!F131</f>
        <v>0</v>
      </c>
      <c r="G18" s="14">
        <f>Estimate!G131</f>
        <v>0</v>
      </c>
      <c r="H18" s="14">
        <f>Estimate!H131</f>
        <v>38897</v>
      </c>
      <c r="I18" s="14">
        <f>Estimate!I131</f>
        <v>341038</v>
      </c>
      <c r="J18" s="14">
        <f>Estimate!J131</f>
        <v>0</v>
      </c>
      <c r="K18" s="12">
        <f t="shared" si="1"/>
        <v>411770</v>
      </c>
      <c r="L18" s="5"/>
    </row>
    <row r="19" spans="1:12" x14ac:dyDescent="0.25">
      <c r="A19" s="3"/>
      <c r="B19" s="6" t="s">
        <v>168</v>
      </c>
      <c r="C19" s="14">
        <f>Estimate!C141</f>
        <v>0</v>
      </c>
      <c r="D19" s="14">
        <f>Estimate!D141</f>
        <v>0</v>
      </c>
      <c r="E19" s="14">
        <f>Estimate!E141</f>
        <v>0</v>
      </c>
      <c r="F19" s="14">
        <f>Estimate!F141</f>
        <v>0</v>
      </c>
      <c r="G19" s="14">
        <f>Estimate!G141</f>
        <v>0</v>
      </c>
      <c r="H19" s="14">
        <f>Estimate!H141</f>
        <v>0</v>
      </c>
      <c r="I19" s="14">
        <f>Estimate!I141</f>
        <v>84201</v>
      </c>
      <c r="J19" s="14">
        <f>Estimate!J141</f>
        <v>0</v>
      </c>
      <c r="K19" s="12">
        <f t="shared" si="1"/>
        <v>84201</v>
      </c>
      <c r="L19" s="5"/>
    </row>
    <row r="20" spans="1:12" x14ac:dyDescent="0.25">
      <c r="A20" s="3"/>
      <c r="B20" s="6" t="s">
        <v>174</v>
      </c>
      <c r="C20" s="14">
        <f>Estimate!C147</f>
        <v>0</v>
      </c>
      <c r="D20" s="14">
        <f>Estimate!D147</f>
        <v>4459</v>
      </c>
      <c r="E20" s="14">
        <f>Estimate!E147</f>
        <v>2476</v>
      </c>
      <c r="F20" s="14">
        <f>Estimate!F147</f>
        <v>0</v>
      </c>
      <c r="G20" s="14">
        <f>Estimate!G147</f>
        <v>0</v>
      </c>
      <c r="H20" s="14">
        <f>Estimate!H147</f>
        <v>0</v>
      </c>
      <c r="I20" s="14">
        <f>Estimate!I147</f>
        <v>83991</v>
      </c>
      <c r="J20" s="14">
        <f>Estimate!J147</f>
        <v>0</v>
      </c>
      <c r="K20" s="12">
        <f t="shared" si="1"/>
        <v>90926</v>
      </c>
      <c r="L20" s="5"/>
    </row>
    <row r="21" spans="1:12" x14ac:dyDescent="0.25">
      <c r="A21" s="3"/>
      <c r="B21" s="7" t="s">
        <v>187</v>
      </c>
      <c r="C21" s="17"/>
      <c r="D21" s="17"/>
      <c r="E21" s="17"/>
      <c r="F21" s="17"/>
      <c r="G21" s="17"/>
      <c r="H21" s="17"/>
      <c r="I21" s="17"/>
      <c r="J21" s="17"/>
      <c r="K21" s="17"/>
      <c r="L21" s="5"/>
    </row>
    <row r="22" spans="1:12" x14ac:dyDescent="0.25">
      <c r="A22" s="3"/>
      <c r="B22" s="6" t="s">
        <v>188</v>
      </c>
      <c r="C22" s="14">
        <f>Estimate!C157</f>
        <v>0</v>
      </c>
      <c r="D22" s="14">
        <f>Estimate!D157</f>
        <v>9721</v>
      </c>
      <c r="E22" s="14">
        <f>Estimate!E157</f>
        <v>516</v>
      </c>
      <c r="F22" s="14">
        <f>Estimate!F157</f>
        <v>740</v>
      </c>
      <c r="G22" s="14">
        <f>Estimate!G157</f>
        <v>0</v>
      </c>
      <c r="H22" s="14">
        <f>Estimate!H157</f>
        <v>22660</v>
      </c>
      <c r="I22" s="14">
        <f>Estimate!I157</f>
        <v>6257</v>
      </c>
      <c r="J22" s="14">
        <f>Estimate!J157</f>
        <v>0</v>
      </c>
      <c r="K22" s="12">
        <f t="shared" ref="K22:K30" si="2">SUM(C22:J22)</f>
        <v>39894</v>
      </c>
      <c r="L22" s="5"/>
    </row>
    <row r="23" spans="1:12" x14ac:dyDescent="0.25">
      <c r="A23" s="3"/>
      <c r="B23" s="6" t="s">
        <v>195</v>
      </c>
      <c r="C23" s="14">
        <f>Estimate!C161</f>
        <v>0</v>
      </c>
      <c r="D23" s="14">
        <f>Estimate!D161</f>
        <v>2975</v>
      </c>
      <c r="E23" s="14">
        <f>Estimate!E161</f>
        <v>307</v>
      </c>
      <c r="F23" s="14">
        <f>Estimate!F161</f>
        <v>234</v>
      </c>
      <c r="G23" s="14">
        <f>Estimate!G161</f>
        <v>0</v>
      </c>
      <c r="H23" s="14">
        <f>Estimate!H161</f>
        <v>6589</v>
      </c>
      <c r="I23" s="14">
        <f>Estimate!I161</f>
        <v>1940</v>
      </c>
      <c r="J23" s="14">
        <f>Estimate!J161</f>
        <v>0</v>
      </c>
      <c r="K23" s="12">
        <f t="shared" si="2"/>
        <v>12045</v>
      </c>
      <c r="L23" s="5"/>
    </row>
    <row r="24" spans="1:12" x14ac:dyDescent="0.25">
      <c r="A24" s="3"/>
      <c r="B24" s="6" t="s">
        <v>196</v>
      </c>
      <c r="C24" s="14">
        <f>Estimate!C165</f>
        <v>0</v>
      </c>
      <c r="D24" s="14">
        <f>Estimate!D165</f>
        <v>5055</v>
      </c>
      <c r="E24" s="14">
        <f>Estimate!E165</f>
        <v>0</v>
      </c>
      <c r="F24" s="14">
        <f>Estimate!F165</f>
        <v>0</v>
      </c>
      <c r="G24" s="14">
        <f>Estimate!G165</f>
        <v>0</v>
      </c>
      <c r="H24" s="14">
        <f>Estimate!H165</f>
        <v>38281</v>
      </c>
      <c r="I24" s="14">
        <f>Estimate!I165</f>
        <v>0</v>
      </c>
      <c r="J24" s="14">
        <f>Estimate!J165</f>
        <v>0</v>
      </c>
      <c r="K24" s="12">
        <f t="shared" si="2"/>
        <v>43336</v>
      </c>
      <c r="L24" s="5"/>
    </row>
    <row r="25" spans="1:12" x14ac:dyDescent="0.25">
      <c r="A25" s="3"/>
      <c r="B25" s="6" t="s">
        <v>201</v>
      </c>
      <c r="C25" s="14">
        <f>Estimate!C168</f>
        <v>0</v>
      </c>
      <c r="D25" s="14">
        <f>Estimate!D168</f>
        <v>8649</v>
      </c>
      <c r="E25" s="14">
        <f>Estimate!E168</f>
        <v>0</v>
      </c>
      <c r="F25" s="14">
        <f>Estimate!F168</f>
        <v>0</v>
      </c>
      <c r="G25" s="14">
        <f>Estimate!G168</f>
        <v>0</v>
      </c>
      <c r="H25" s="14">
        <f>Estimate!H168</f>
        <v>87957</v>
      </c>
      <c r="I25" s="14">
        <f>Estimate!I168</f>
        <v>0</v>
      </c>
      <c r="J25" s="14">
        <f>Estimate!J168</f>
        <v>0</v>
      </c>
      <c r="K25" s="12">
        <f t="shared" si="2"/>
        <v>96606</v>
      </c>
      <c r="L25" s="5"/>
    </row>
    <row r="26" spans="1:12" x14ac:dyDescent="0.25">
      <c r="A26" s="3"/>
      <c r="B26" s="6" t="s">
        <v>202</v>
      </c>
      <c r="C26" s="14">
        <f>Estimate!C171</f>
        <v>0</v>
      </c>
      <c r="D26" s="14">
        <f>Estimate!D171</f>
        <v>1947</v>
      </c>
      <c r="E26" s="14">
        <f>Estimate!E171</f>
        <v>0</v>
      </c>
      <c r="F26" s="14">
        <f>Estimate!F171</f>
        <v>0</v>
      </c>
      <c r="G26" s="14">
        <f>Estimate!G171</f>
        <v>0</v>
      </c>
      <c r="H26" s="14">
        <f>Estimate!H171</f>
        <v>15322</v>
      </c>
      <c r="I26" s="14">
        <f>Estimate!I171</f>
        <v>0</v>
      </c>
      <c r="J26" s="14">
        <f>Estimate!J171</f>
        <v>0</v>
      </c>
      <c r="K26" s="12">
        <f t="shared" si="2"/>
        <v>17269</v>
      </c>
      <c r="L26" s="5"/>
    </row>
    <row r="27" spans="1:12" x14ac:dyDescent="0.25">
      <c r="A27" s="3"/>
      <c r="B27" s="6" t="s">
        <v>203</v>
      </c>
      <c r="C27" s="14">
        <f>Estimate!C174</f>
        <v>0</v>
      </c>
      <c r="D27" s="14">
        <f>Estimate!D174</f>
        <v>41521</v>
      </c>
      <c r="E27" s="14">
        <f>Estimate!E174</f>
        <v>0</v>
      </c>
      <c r="F27" s="14">
        <f>Estimate!F174</f>
        <v>0</v>
      </c>
      <c r="G27" s="14">
        <f>Estimate!G174</f>
        <v>67272</v>
      </c>
      <c r="H27" s="14">
        <f>Estimate!H174</f>
        <v>102583</v>
      </c>
      <c r="I27" s="14">
        <f>Estimate!I174</f>
        <v>72950</v>
      </c>
      <c r="J27" s="14">
        <f>Estimate!J174</f>
        <v>0</v>
      </c>
      <c r="K27" s="12">
        <f t="shared" si="2"/>
        <v>284326</v>
      </c>
      <c r="L27" s="5"/>
    </row>
    <row r="28" spans="1:12" x14ac:dyDescent="0.25">
      <c r="A28" s="3"/>
      <c r="B28" s="6" t="s">
        <v>216</v>
      </c>
      <c r="C28" s="14">
        <f>Estimate!C182</f>
        <v>0</v>
      </c>
      <c r="D28" s="14">
        <f>Estimate!D182</f>
        <v>0</v>
      </c>
      <c r="E28" s="14">
        <f>Estimate!E182</f>
        <v>0</v>
      </c>
      <c r="F28" s="14">
        <f>Estimate!F182</f>
        <v>0</v>
      </c>
      <c r="G28" s="14">
        <f>Estimate!G182</f>
        <v>0</v>
      </c>
      <c r="H28" s="14">
        <f>Estimate!H182</f>
        <v>0</v>
      </c>
      <c r="I28" s="14">
        <f>Estimate!I182</f>
        <v>37825</v>
      </c>
      <c r="J28" s="14">
        <f>Estimate!J182</f>
        <v>0</v>
      </c>
      <c r="K28" s="12">
        <f t="shared" si="2"/>
        <v>37825</v>
      </c>
      <c r="L28" s="5"/>
    </row>
    <row r="29" spans="1:12" x14ac:dyDescent="0.25">
      <c r="A29" s="3"/>
      <c r="B29" s="6" t="s">
        <v>225</v>
      </c>
      <c r="C29" s="14">
        <f>Estimate!C187</f>
        <v>0</v>
      </c>
      <c r="D29" s="14">
        <f>Estimate!D187</f>
        <v>6552</v>
      </c>
      <c r="E29" s="14">
        <f>Estimate!E187</f>
        <v>2861</v>
      </c>
      <c r="F29" s="14">
        <f>Estimate!F187</f>
        <v>0</v>
      </c>
      <c r="G29" s="14">
        <f>Estimate!G187</f>
        <v>0</v>
      </c>
      <c r="H29" s="14">
        <f>Estimate!H187</f>
        <v>24028</v>
      </c>
      <c r="I29" s="14">
        <f>Estimate!I187</f>
        <v>25370</v>
      </c>
      <c r="J29" s="14">
        <f>Estimate!J187</f>
        <v>0</v>
      </c>
      <c r="K29" s="12">
        <f t="shared" si="2"/>
        <v>58811</v>
      </c>
      <c r="L29" s="5"/>
    </row>
    <row r="30" spans="1:12" x14ac:dyDescent="0.25">
      <c r="A30" s="3"/>
      <c r="B30" s="6" t="s">
        <v>230</v>
      </c>
      <c r="C30" s="14">
        <f>Estimate!C191</f>
        <v>0</v>
      </c>
      <c r="D30" s="14">
        <f>Estimate!D191</f>
        <v>1586485</v>
      </c>
      <c r="E30" s="14">
        <f>Estimate!E191</f>
        <v>1077686</v>
      </c>
      <c r="F30" s="14">
        <f>Estimate!F191</f>
        <v>6322</v>
      </c>
      <c r="G30" s="14">
        <f>Estimate!G191</f>
        <v>0</v>
      </c>
      <c r="H30" s="14">
        <f>Estimate!H191</f>
        <v>1132809</v>
      </c>
      <c r="I30" s="14">
        <f>Estimate!I191</f>
        <v>47746</v>
      </c>
      <c r="J30" s="14">
        <f>Estimate!J191</f>
        <v>0</v>
      </c>
      <c r="K30" s="12">
        <f t="shared" si="2"/>
        <v>3851048</v>
      </c>
      <c r="L30" s="5"/>
    </row>
    <row r="31" spans="1:12" x14ac:dyDescent="0.25">
      <c r="A31" s="3"/>
      <c r="B31" s="7" t="s">
        <v>455</v>
      </c>
      <c r="C31" s="17"/>
      <c r="D31" s="17"/>
      <c r="E31" s="17"/>
      <c r="F31" s="17"/>
      <c r="G31" s="17"/>
      <c r="H31" s="17"/>
      <c r="I31" s="17"/>
      <c r="J31" s="17"/>
      <c r="K31" s="17"/>
      <c r="L31" s="5"/>
    </row>
    <row r="32" spans="1:12" x14ac:dyDescent="0.25">
      <c r="A32" s="3"/>
      <c r="B32" s="6" t="s">
        <v>243</v>
      </c>
      <c r="C32" s="14">
        <f>Estimate!C202</f>
        <v>0</v>
      </c>
      <c r="D32" s="14">
        <f>Estimate!D202</f>
        <v>4793</v>
      </c>
      <c r="E32" s="14">
        <f>Estimate!E202</f>
        <v>1904</v>
      </c>
      <c r="F32" s="14">
        <f>Estimate!F202</f>
        <v>258431</v>
      </c>
      <c r="G32" s="14">
        <f>Estimate!G202</f>
        <v>217997</v>
      </c>
      <c r="H32" s="14">
        <f>Estimate!H202</f>
        <v>0</v>
      </c>
      <c r="I32" s="14">
        <f>Estimate!I202</f>
        <v>622412</v>
      </c>
      <c r="J32" s="14">
        <f>Estimate!J202</f>
        <v>0</v>
      </c>
      <c r="K32" s="12">
        <f t="shared" ref="K32:K38" si="3">SUM(C32:J32)</f>
        <v>1105537</v>
      </c>
      <c r="L32" s="5"/>
    </row>
    <row r="33" spans="1:12" x14ac:dyDescent="0.25">
      <c r="A33" s="3"/>
      <c r="B33" s="6" t="s">
        <v>251</v>
      </c>
      <c r="C33" s="14">
        <f>Estimate!C208</f>
        <v>0</v>
      </c>
      <c r="D33" s="14">
        <f>Estimate!D208</f>
        <v>109124</v>
      </c>
      <c r="E33" s="14">
        <f>Estimate!E208</f>
        <v>10538</v>
      </c>
      <c r="F33" s="14">
        <f>Estimate!F208</f>
        <v>46263</v>
      </c>
      <c r="G33" s="14">
        <f>Estimate!G208</f>
        <v>33602</v>
      </c>
      <c r="H33" s="14">
        <f>Estimate!H208</f>
        <v>16237</v>
      </c>
      <c r="I33" s="14">
        <f>Estimate!I208</f>
        <v>0</v>
      </c>
      <c r="J33" s="14">
        <f>Estimate!J208</f>
        <v>0</v>
      </c>
      <c r="K33" s="12">
        <f t="shared" si="3"/>
        <v>215764</v>
      </c>
      <c r="L33" s="5"/>
    </row>
    <row r="34" spans="1:12" x14ac:dyDescent="0.25">
      <c r="A34" s="3"/>
      <c r="B34" s="6" t="s">
        <v>266</v>
      </c>
      <c r="C34" s="14">
        <f>Estimate!C216</f>
        <v>0</v>
      </c>
      <c r="D34" s="14">
        <f>Estimate!D216</f>
        <v>644857</v>
      </c>
      <c r="E34" s="14">
        <f>Estimate!E216</f>
        <v>136442</v>
      </c>
      <c r="F34" s="14">
        <f>Estimate!F216</f>
        <v>278563</v>
      </c>
      <c r="G34" s="14">
        <f>Estimate!G216</f>
        <v>864731</v>
      </c>
      <c r="H34" s="14">
        <f>Estimate!H216</f>
        <v>72305</v>
      </c>
      <c r="I34" s="14">
        <f>Estimate!I216</f>
        <v>21085</v>
      </c>
      <c r="J34" s="14">
        <f>Estimate!J216</f>
        <v>0</v>
      </c>
      <c r="K34" s="12">
        <f t="shared" si="3"/>
        <v>2017983</v>
      </c>
      <c r="L34" s="5"/>
    </row>
    <row r="35" spans="1:12" x14ac:dyDescent="0.25">
      <c r="A35" s="3"/>
      <c r="B35" s="6" t="s">
        <v>209</v>
      </c>
      <c r="C35" s="14">
        <f>Estimate!C228</f>
        <v>0</v>
      </c>
      <c r="D35" s="14">
        <f>Estimate!D228</f>
        <v>2783877</v>
      </c>
      <c r="E35" s="14">
        <f>Estimate!E228</f>
        <v>171342</v>
      </c>
      <c r="F35" s="14">
        <f>Estimate!F228</f>
        <v>1277729</v>
      </c>
      <c r="G35" s="14">
        <f>Estimate!G228</f>
        <v>2131777</v>
      </c>
      <c r="H35" s="14">
        <f>Estimate!H228</f>
        <v>1534420</v>
      </c>
      <c r="I35" s="14">
        <f>Estimate!I228</f>
        <v>1838712</v>
      </c>
      <c r="J35" s="14">
        <f>Estimate!J228</f>
        <v>0</v>
      </c>
      <c r="K35" s="12">
        <f t="shared" si="3"/>
        <v>9737857</v>
      </c>
      <c r="L35" s="5"/>
    </row>
    <row r="36" spans="1:12" x14ac:dyDescent="0.25">
      <c r="A36" s="3"/>
      <c r="B36" s="6" t="s">
        <v>304</v>
      </c>
      <c r="C36" s="14">
        <f>Estimate!C241</f>
        <v>0</v>
      </c>
      <c r="D36" s="14">
        <f>Estimate!D241</f>
        <v>180255</v>
      </c>
      <c r="E36" s="14">
        <f>Estimate!E241</f>
        <v>0</v>
      </c>
      <c r="F36" s="14">
        <f>Estimate!F241</f>
        <v>83889</v>
      </c>
      <c r="G36" s="14">
        <f>Estimate!G241</f>
        <v>99669</v>
      </c>
      <c r="H36" s="14">
        <f>Estimate!H241</f>
        <v>1011778</v>
      </c>
      <c r="I36" s="14">
        <f>Estimate!I241</f>
        <v>0</v>
      </c>
      <c r="J36" s="14">
        <f>Estimate!J241</f>
        <v>0</v>
      </c>
      <c r="K36" s="12">
        <f t="shared" si="3"/>
        <v>1375591</v>
      </c>
      <c r="L36" s="5"/>
    </row>
    <row r="37" spans="1:12" x14ac:dyDescent="0.25">
      <c r="A37" s="3"/>
      <c r="B37" s="6" t="s">
        <v>314</v>
      </c>
      <c r="C37" s="14">
        <f>Estimate!C249</f>
        <v>0</v>
      </c>
      <c r="D37" s="14">
        <f>Estimate!D249</f>
        <v>30912</v>
      </c>
      <c r="E37" s="14">
        <f>Estimate!E249</f>
        <v>351</v>
      </c>
      <c r="F37" s="14">
        <f>Estimate!F249</f>
        <v>0</v>
      </c>
      <c r="G37" s="14">
        <f>Estimate!G249</f>
        <v>0</v>
      </c>
      <c r="H37" s="14">
        <f>Estimate!H249</f>
        <v>142830</v>
      </c>
      <c r="I37" s="14">
        <f>Estimate!I249</f>
        <v>0</v>
      </c>
      <c r="J37" s="14">
        <f>Estimate!J249</f>
        <v>0</v>
      </c>
      <c r="K37" s="12">
        <f t="shared" si="3"/>
        <v>174093</v>
      </c>
      <c r="L37" s="5"/>
    </row>
    <row r="38" spans="1:12" x14ac:dyDescent="0.25">
      <c r="A38" s="3"/>
      <c r="B38" s="6" t="s">
        <v>324</v>
      </c>
      <c r="C38" s="14">
        <f>Estimate!C255</f>
        <v>0</v>
      </c>
      <c r="D38" s="14">
        <f>Estimate!D255</f>
        <v>17460</v>
      </c>
      <c r="E38" s="14">
        <f>Estimate!E255</f>
        <v>252</v>
      </c>
      <c r="F38" s="14">
        <f>Estimate!F255</f>
        <v>10759</v>
      </c>
      <c r="G38" s="14">
        <f>Estimate!G255</f>
        <v>12314</v>
      </c>
      <c r="H38" s="14">
        <f>Estimate!H255</f>
        <v>2360</v>
      </c>
      <c r="I38" s="14">
        <f>Estimate!I255</f>
        <v>0</v>
      </c>
      <c r="J38" s="14">
        <f>Estimate!J255</f>
        <v>0</v>
      </c>
      <c r="K38" s="12">
        <f t="shared" si="3"/>
        <v>43145</v>
      </c>
      <c r="L38" s="5"/>
    </row>
    <row r="39" spans="1:12" x14ac:dyDescent="0.25">
      <c r="A39" s="3"/>
      <c r="B39" s="7" t="s">
        <v>334</v>
      </c>
      <c r="C39" s="17">
        <f>Estimate!C261</f>
        <v>0</v>
      </c>
      <c r="D39" s="17">
        <f>Estimate!D261</f>
        <v>112668</v>
      </c>
      <c r="E39" s="17">
        <f>Estimate!E261</f>
        <v>83029</v>
      </c>
      <c r="F39" s="17">
        <f>Estimate!F261</f>
        <v>0</v>
      </c>
      <c r="G39" s="17">
        <f>Estimate!G261</f>
        <v>0</v>
      </c>
      <c r="H39" s="17">
        <f>Estimate!H261</f>
        <v>0</v>
      </c>
      <c r="I39" s="17">
        <f>Estimate!I261</f>
        <v>7060</v>
      </c>
      <c r="J39" s="17">
        <f>Estimate!J261</f>
        <v>0</v>
      </c>
      <c r="K39" s="18">
        <f>SUM(C39:J39)</f>
        <v>202757</v>
      </c>
      <c r="L39" s="5"/>
    </row>
    <row r="40" spans="1:12" x14ac:dyDescent="0.25">
      <c r="A40" s="3"/>
      <c r="B40" s="7" t="s">
        <v>338</v>
      </c>
      <c r="C40" s="17"/>
      <c r="D40" s="17"/>
      <c r="E40" s="17"/>
      <c r="F40" s="17"/>
      <c r="G40" s="17"/>
      <c r="H40" s="17"/>
      <c r="I40" s="17"/>
      <c r="J40" s="17"/>
      <c r="K40" s="17"/>
      <c r="L40" s="5"/>
    </row>
    <row r="41" spans="1:12" x14ac:dyDescent="0.25">
      <c r="A41" s="3"/>
      <c r="B41" s="6" t="s">
        <v>243</v>
      </c>
      <c r="C41" s="14">
        <f>Estimate!C266</f>
        <v>0</v>
      </c>
      <c r="D41" s="14">
        <f>Estimate!D266</f>
        <v>4287</v>
      </c>
      <c r="E41" s="14">
        <f>Estimate!E266</f>
        <v>1870</v>
      </c>
      <c r="F41" s="14">
        <f>Estimate!F266</f>
        <v>83241</v>
      </c>
      <c r="G41" s="14">
        <f>Estimate!G266</f>
        <v>64606</v>
      </c>
      <c r="H41" s="14">
        <f>Estimate!H266</f>
        <v>0</v>
      </c>
      <c r="I41" s="14">
        <f>Estimate!I266</f>
        <v>176385</v>
      </c>
      <c r="J41" s="14">
        <f>Estimate!J266</f>
        <v>0</v>
      </c>
      <c r="K41" s="12">
        <f t="shared" ref="K41:K49" si="4">SUM(C41:J41)</f>
        <v>330389</v>
      </c>
      <c r="L41" s="5"/>
    </row>
    <row r="42" spans="1:12" x14ac:dyDescent="0.25">
      <c r="A42" s="3"/>
      <c r="B42" s="6" t="s">
        <v>352</v>
      </c>
      <c r="C42" s="14">
        <f>Estimate!C275</f>
        <v>0</v>
      </c>
      <c r="D42" s="14">
        <f>Estimate!D275</f>
        <v>102296</v>
      </c>
      <c r="E42" s="14">
        <f>Estimate!E275</f>
        <v>1919</v>
      </c>
      <c r="F42" s="14">
        <f>Estimate!F275</f>
        <v>47365</v>
      </c>
      <c r="G42" s="14">
        <f>Estimate!G275</f>
        <v>34961</v>
      </c>
      <c r="H42" s="14">
        <f>Estimate!H275</f>
        <v>15221</v>
      </c>
      <c r="I42" s="14">
        <f>Estimate!I275</f>
        <v>0</v>
      </c>
      <c r="J42" s="14">
        <f>Estimate!J275</f>
        <v>0</v>
      </c>
      <c r="K42" s="12">
        <f t="shared" si="4"/>
        <v>201762</v>
      </c>
      <c r="L42" s="5"/>
    </row>
    <row r="43" spans="1:12" x14ac:dyDescent="0.25">
      <c r="A43" s="3"/>
      <c r="B43" s="6" t="s">
        <v>354</v>
      </c>
      <c r="C43" s="14">
        <f>Estimate!C282</f>
        <v>0</v>
      </c>
      <c r="D43" s="14">
        <f>Estimate!D282</f>
        <v>337687</v>
      </c>
      <c r="E43" s="14">
        <f>Estimate!E282</f>
        <v>91826</v>
      </c>
      <c r="F43" s="14">
        <f>Estimate!F282</f>
        <v>323009</v>
      </c>
      <c r="G43" s="14">
        <f>Estimate!G282</f>
        <v>396991</v>
      </c>
      <c r="H43" s="14">
        <f>Estimate!H282</f>
        <v>56167</v>
      </c>
      <c r="I43" s="14">
        <f>Estimate!I282</f>
        <v>22074</v>
      </c>
      <c r="J43" s="14">
        <f>Estimate!J282</f>
        <v>0</v>
      </c>
      <c r="K43" s="12">
        <f t="shared" si="4"/>
        <v>1227754</v>
      </c>
      <c r="L43" s="5"/>
    </row>
    <row r="44" spans="1:12" x14ac:dyDescent="0.25">
      <c r="A44" s="3"/>
      <c r="B44" s="6" t="s">
        <v>4</v>
      </c>
      <c r="C44" s="14">
        <f>Estimate!C291</f>
        <v>0</v>
      </c>
      <c r="D44" s="14">
        <f>Estimate!D291</f>
        <v>713708</v>
      </c>
      <c r="E44" s="14">
        <f>Estimate!E291</f>
        <v>164135</v>
      </c>
      <c r="F44" s="14">
        <f>Estimate!F291</f>
        <v>507800</v>
      </c>
      <c r="G44" s="14">
        <f>Estimate!G291</f>
        <v>920432</v>
      </c>
      <c r="H44" s="14">
        <f>Estimate!H291</f>
        <v>406856</v>
      </c>
      <c r="I44" s="14">
        <f>Estimate!I291</f>
        <v>645215</v>
      </c>
      <c r="J44" s="14">
        <f>Estimate!J291</f>
        <v>1489</v>
      </c>
      <c r="K44" s="12">
        <f t="shared" si="4"/>
        <v>3359635</v>
      </c>
      <c r="L44" s="5"/>
    </row>
    <row r="45" spans="1:12" x14ac:dyDescent="0.25">
      <c r="A45" s="3"/>
      <c r="B45" s="6" t="s">
        <v>174</v>
      </c>
      <c r="C45" s="14">
        <f>Estimate!C303</f>
        <v>0</v>
      </c>
      <c r="D45" s="14">
        <f>Estimate!D303</f>
        <v>16893</v>
      </c>
      <c r="E45" s="14">
        <f>Estimate!E303</f>
        <v>0</v>
      </c>
      <c r="F45" s="14">
        <f>Estimate!F303</f>
        <v>0</v>
      </c>
      <c r="G45" s="14">
        <f>Estimate!G303</f>
        <v>0</v>
      </c>
      <c r="H45" s="14">
        <f>Estimate!H303</f>
        <v>146079</v>
      </c>
      <c r="I45" s="14">
        <f>Estimate!I303</f>
        <v>0</v>
      </c>
      <c r="J45" s="14">
        <f>Estimate!J303</f>
        <v>0</v>
      </c>
      <c r="K45" s="12">
        <f t="shared" si="4"/>
        <v>162972</v>
      </c>
      <c r="L45" s="5"/>
    </row>
    <row r="46" spans="1:12" x14ac:dyDescent="0.25">
      <c r="A46" s="3"/>
      <c r="B46" s="6" t="s">
        <v>379</v>
      </c>
      <c r="C46" s="14">
        <f>Estimate!C306</f>
        <v>0</v>
      </c>
      <c r="D46" s="14">
        <f>Estimate!D306</f>
        <v>8419</v>
      </c>
      <c r="E46" s="14">
        <f>Estimate!E306</f>
        <v>0</v>
      </c>
      <c r="F46" s="14">
        <f>Estimate!F306</f>
        <v>0</v>
      </c>
      <c r="G46" s="14">
        <f>Estimate!G306</f>
        <v>0</v>
      </c>
      <c r="H46" s="14">
        <f>Estimate!H306</f>
        <v>72247</v>
      </c>
      <c r="I46" s="14">
        <f>Estimate!I306</f>
        <v>0</v>
      </c>
      <c r="J46" s="14">
        <f>Estimate!J306</f>
        <v>0</v>
      </c>
      <c r="K46" s="12">
        <f t="shared" si="4"/>
        <v>80666</v>
      </c>
      <c r="L46" s="5"/>
    </row>
    <row r="47" spans="1:12" x14ac:dyDescent="0.25">
      <c r="A47" s="3"/>
      <c r="B47" s="6" t="s">
        <v>314</v>
      </c>
      <c r="C47" s="14">
        <f>Estimate!C309</f>
        <v>0</v>
      </c>
      <c r="D47" s="14">
        <f>Estimate!D309</f>
        <v>17817</v>
      </c>
      <c r="E47" s="14">
        <f>Estimate!E309</f>
        <v>0</v>
      </c>
      <c r="F47" s="14">
        <f>Estimate!F309</f>
        <v>0</v>
      </c>
      <c r="G47" s="14">
        <f>Estimate!G309</f>
        <v>0</v>
      </c>
      <c r="H47" s="14">
        <f>Estimate!H309</f>
        <v>88421</v>
      </c>
      <c r="I47" s="14">
        <f>Estimate!I309</f>
        <v>0</v>
      </c>
      <c r="J47" s="14">
        <f>Estimate!J309</f>
        <v>0</v>
      </c>
      <c r="K47" s="12">
        <f t="shared" si="4"/>
        <v>106238</v>
      </c>
      <c r="L47" s="5"/>
    </row>
    <row r="48" spans="1:12" x14ac:dyDescent="0.25">
      <c r="A48" s="3"/>
      <c r="B48" s="6" t="s">
        <v>324</v>
      </c>
      <c r="C48" s="14">
        <f>Estimate!C314</f>
        <v>0</v>
      </c>
      <c r="D48" s="14">
        <f>Estimate!D314</f>
        <v>19155</v>
      </c>
      <c r="E48" s="14">
        <f>Estimate!E314</f>
        <v>261</v>
      </c>
      <c r="F48" s="14">
        <f>Estimate!F314</f>
        <v>9326</v>
      </c>
      <c r="G48" s="14">
        <f>Estimate!G314</f>
        <v>18467</v>
      </c>
      <c r="H48" s="14">
        <f>Estimate!H314</f>
        <v>2320</v>
      </c>
      <c r="I48" s="14">
        <f>Estimate!I314</f>
        <v>0</v>
      </c>
      <c r="J48" s="14">
        <f>Estimate!J314</f>
        <v>0</v>
      </c>
      <c r="K48" s="12">
        <f t="shared" si="4"/>
        <v>49529</v>
      </c>
      <c r="L48" s="5"/>
    </row>
    <row r="49" spans="1:12" x14ac:dyDescent="0.25">
      <c r="A49" s="3"/>
      <c r="B49" s="6" t="s">
        <v>251</v>
      </c>
      <c r="C49" s="14">
        <f>Estimate!C320</f>
        <v>0</v>
      </c>
      <c r="D49" s="14">
        <f>Estimate!D320</f>
        <v>100456</v>
      </c>
      <c r="E49" s="14">
        <f>Estimate!E320</f>
        <v>2165</v>
      </c>
      <c r="F49" s="14">
        <f>Estimate!F320</f>
        <v>40032</v>
      </c>
      <c r="G49" s="14">
        <f>Estimate!G320</f>
        <v>31922</v>
      </c>
      <c r="H49" s="14">
        <f>Estimate!H320</f>
        <v>14184</v>
      </c>
      <c r="I49" s="14">
        <f>Estimate!I320</f>
        <v>0</v>
      </c>
      <c r="J49" s="14">
        <f>Estimate!J320</f>
        <v>0</v>
      </c>
      <c r="K49" s="12">
        <f t="shared" si="4"/>
        <v>188759</v>
      </c>
      <c r="L49" s="5"/>
    </row>
    <row r="50" spans="1:12" x14ac:dyDescent="0.25">
      <c r="A50" s="3"/>
      <c r="B50" s="7" t="s">
        <v>380</v>
      </c>
      <c r="C50" s="17"/>
      <c r="D50" s="17"/>
      <c r="E50" s="17"/>
      <c r="F50" s="17"/>
      <c r="G50" s="17"/>
      <c r="H50" s="17"/>
      <c r="I50" s="17"/>
      <c r="J50" s="17"/>
      <c r="K50" s="17"/>
      <c r="L50" s="5"/>
    </row>
    <row r="51" spans="1:12" x14ac:dyDescent="0.25">
      <c r="A51" s="3"/>
      <c r="B51" s="6" t="s">
        <v>381</v>
      </c>
      <c r="C51" s="14">
        <f>Estimate!C328</f>
        <v>0</v>
      </c>
      <c r="D51" s="14">
        <f>Estimate!D328</f>
        <v>1740</v>
      </c>
      <c r="E51" s="14">
        <f>Estimate!E328</f>
        <v>683</v>
      </c>
      <c r="F51" s="14">
        <f>Estimate!F328</f>
        <v>0</v>
      </c>
      <c r="G51" s="14">
        <f>Estimate!G328</f>
        <v>0</v>
      </c>
      <c r="H51" s="14">
        <f>Estimate!H328</f>
        <v>131523</v>
      </c>
      <c r="I51" s="14">
        <f>Estimate!I328</f>
        <v>0</v>
      </c>
      <c r="J51" s="14">
        <f>Estimate!J328</f>
        <v>0</v>
      </c>
      <c r="K51" s="12">
        <f t="shared" ref="K51:K58" si="5">SUM(C51:J51)</f>
        <v>133946</v>
      </c>
      <c r="L51" s="5"/>
    </row>
    <row r="52" spans="1:12" x14ac:dyDescent="0.25">
      <c r="A52" s="3"/>
      <c r="B52" s="6" t="s">
        <v>366</v>
      </c>
      <c r="C52" s="14">
        <f>Estimate!C332</f>
        <v>0</v>
      </c>
      <c r="D52" s="14">
        <f>Estimate!D332</f>
        <v>1480</v>
      </c>
      <c r="E52" s="14">
        <f>Estimate!E332</f>
        <v>0</v>
      </c>
      <c r="F52" s="14">
        <f>Estimate!F332</f>
        <v>0</v>
      </c>
      <c r="G52" s="14">
        <f>Estimate!G332</f>
        <v>0</v>
      </c>
      <c r="H52" s="14">
        <f>Estimate!H332</f>
        <v>31381</v>
      </c>
      <c r="I52" s="14">
        <f>Estimate!I332</f>
        <v>0</v>
      </c>
      <c r="J52" s="14">
        <f>Estimate!J332</f>
        <v>0</v>
      </c>
      <c r="K52" s="12">
        <f t="shared" si="5"/>
        <v>32861</v>
      </c>
      <c r="L52" s="5"/>
    </row>
    <row r="53" spans="1:12" x14ac:dyDescent="0.25">
      <c r="A53" s="3"/>
      <c r="B53" s="6" t="s">
        <v>388</v>
      </c>
      <c r="C53" s="14">
        <f>Estimate!C334</f>
        <v>0</v>
      </c>
      <c r="D53" s="14">
        <f>Estimate!D334</f>
        <v>43298</v>
      </c>
      <c r="E53" s="14">
        <f>Estimate!E334</f>
        <v>2610</v>
      </c>
      <c r="F53" s="14">
        <f>Estimate!F334</f>
        <v>9117</v>
      </c>
      <c r="G53" s="14">
        <f>Estimate!G334</f>
        <v>24201</v>
      </c>
      <c r="H53" s="14">
        <f>Estimate!H334</f>
        <v>18689</v>
      </c>
      <c r="I53" s="14">
        <f>Estimate!I334</f>
        <v>0</v>
      </c>
      <c r="J53" s="14">
        <f>Estimate!J334</f>
        <v>0</v>
      </c>
      <c r="K53" s="12">
        <f t="shared" si="5"/>
        <v>97915</v>
      </c>
      <c r="L53" s="5"/>
    </row>
    <row r="54" spans="1:12" x14ac:dyDescent="0.25">
      <c r="A54" s="3"/>
      <c r="B54" s="6" t="s">
        <v>395</v>
      </c>
      <c r="C54" s="14">
        <f>Estimate!C339</f>
        <v>0</v>
      </c>
      <c r="D54" s="14">
        <f>Estimate!D339</f>
        <v>2359</v>
      </c>
      <c r="E54" s="14">
        <f>Estimate!E339</f>
        <v>0</v>
      </c>
      <c r="F54" s="14">
        <f>Estimate!F339</f>
        <v>0</v>
      </c>
      <c r="G54" s="14">
        <f>Estimate!G339</f>
        <v>0</v>
      </c>
      <c r="H54" s="14">
        <f>Estimate!H339</f>
        <v>23608</v>
      </c>
      <c r="I54" s="14">
        <f>Estimate!I339</f>
        <v>0</v>
      </c>
      <c r="J54" s="14">
        <f>Estimate!J339</f>
        <v>0</v>
      </c>
      <c r="K54" s="12">
        <f t="shared" si="5"/>
        <v>25967</v>
      </c>
      <c r="L54" s="5"/>
    </row>
    <row r="55" spans="1:12" x14ac:dyDescent="0.25">
      <c r="A55" s="3"/>
      <c r="B55" s="6" t="s">
        <v>379</v>
      </c>
      <c r="C55" s="14">
        <f>Estimate!C342</f>
        <v>0</v>
      </c>
      <c r="D55" s="14">
        <f>Estimate!D342</f>
        <v>1163</v>
      </c>
      <c r="E55" s="14">
        <f>Estimate!E342</f>
        <v>0</v>
      </c>
      <c r="F55" s="14">
        <f>Estimate!F342</f>
        <v>0</v>
      </c>
      <c r="G55" s="14">
        <f>Estimate!G342</f>
        <v>0</v>
      </c>
      <c r="H55" s="14">
        <f>Estimate!H342</f>
        <v>9891</v>
      </c>
      <c r="I55" s="14">
        <f>Estimate!I342</f>
        <v>0</v>
      </c>
      <c r="J55" s="14">
        <f>Estimate!J342</f>
        <v>0</v>
      </c>
      <c r="K55" s="12">
        <f t="shared" si="5"/>
        <v>11054</v>
      </c>
      <c r="L55" s="5"/>
    </row>
    <row r="56" spans="1:12" x14ac:dyDescent="0.25">
      <c r="A56" s="3"/>
      <c r="B56" s="6" t="s">
        <v>314</v>
      </c>
      <c r="C56" s="14">
        <f>Estimate!C345</f>
        <v>0</v>
      </c>
      <c r="D56" s="14">
        <f>Estimate!D345</f>
        <v>2019</v>
      </c>
      <c r="E56" s="14">
        <f>Estimate!E345</f>
        <v>0</v>
      </c>
      <c r="F56" s="14">
        <f>Estimate!F345</f>
        <v>0</v>
      </c>
      <c r="G56" s="14">
        <f>Estimate!G345</f>
        <v>0</v>
      </c>
      <c r="H56" s="14">
        <f>Estimate!H345</f>
        <v>8844</v>
      </c>
      <c r="I56" s="14">
        <f>Estimate!I345</f>
        <v>0</v>
      </c>
      <c r="J56" s="14">
        <f>Estimate!J345</f>
        <v>0</v>
      </c>
      <c r="K56" s="12">
        <f t="shared" si="5"/>
        <v>10863</v>
      </c>
      <c r="L56" s="5"/>
    </row>
    <row r="57" spans="1:12" x14ac:dyDescent="0.25">
      <c r="A57" s="3"/>
      <c r="B57" s="6" t="s">
        <v>397</v>
      </c>
      <c r="C57" s="14">
        <f>Estimate!C349</f>
        <v>0</v>
      </c>
      <c r="D57" s="14">
        <f>Estimate!D349</f>
        <v>28120</v>
      </c>
      <c r="E57" s="14">
        <f>Estimate!E349</f>
        <v>576</v>
      </c>
      <c r="F57" s="14">
        <f>Estimate!F349</f>
        <v>21815</v>
      </c>
      <c r="G57" s="14">
        <f>Estimate!G349</f>
        <v>33551</v>
      </c>
      <c r="H57" s="14">
        <f>Estimate!H349</f>
        <v>2828</v>
      </c>
      <c r="I57" s="14">
        <f>Estimate!I349</f>
        <v>0</v>
      </c>
      <c r="J57" s="14">
        <f>Estimate!J349</f>
        <v>0</v>
      </c>
      <c r="K57" s="12">
        <f t="shared" si="5"/>
        <v>86890</v>
      </c>
      <c r="L57" s="5"/>
    </row>
    <row r="58" spans="1:12" x14ac:dyDescent="0.25">
      <c r="A58" s="3"/>
      <c r="B58" s="6" t="s">
        <v>398</v>
      </c>
      <c r="C58" s="14">
        <f>Estimate!C355</f>
        <v>0</v>
      </c>
      <c r="D58" s="14">
        <f>Estimate!D355</f>
        <v>32722</v>
      </c>
      <c r="E58" s="14">
        <f>Estimate!E355</f>
        <v>3701</v>
      </c>
      <c r="F58" s="14">
        <f>Estimate!F355</f>
        <v>24040</v>
      </c>
      <c r="G58" s="14">
        <f>Estimate!G355</f>
        <v>21241</v>
      </c>
      <c r="H58" s="14">
        <f>Estimate!H355</f>
        <v>12402</v>
      </c>
      <c r="I58" s="14">
        <f>Estimate!I355</f>
        <v>0</v>
      </c>
      <c r="J58" s="14">
        <f>Estimate!J355</f>
        <v>0</v>
      </c>
      <c r="K58" s="12">
        <f t="shared" si="5"/>
        <v>94106</v>
      </c>
      <c r="L58" s="5"/>
    </row>
    <row r="59" spans="1:12" x14ac:dyDescent="0.25">
      <c r="A59" s="3"/>
      <c r="C59" s="5"/>
      <c r="D59" s="5"/>
      <c r="E59" s="5"/>
      <c r="F59" s="5"/>
      <c r="G59" s="5"/>
      <c r="H59" s="5"/>
      <c r="I59" s="5"/>
      <c r="J59" s="5"/>
      <c r="K59" s="5"/>
    </row>
    <row r="60" spans="1:12" x14ac:dyDescent="0.25">
      <c r="A60" s="3"/>
      <c r="C60" s="5"/>
      <c r="D60" s="5"/>
      <c r="E60" s="5"/>
      <c r="F60" s="5"/>
      <c r="G60" s="5"/>
      <c r="H60" s="5"/>
      <c r="I60" s="5"/>
      <c r="J60" s="5"/>
      <c r="K60" s="5"/>
    </row>
    <row r="61" spans="1:12" x14ac:dyDescent="0.25">
      <c r="C61" s="5"/>
      <c r="D61" s="5"/>
      <c r="E61" s="5"/>
      <c r="F61" s="5"/>
      <c r="G61" s="5"/>
      <c r="H61" s="5"/>
      <c r="I61" s="5"/>
      <c r="J61" s="5"/>
      <c r="K61" s="5"/>
    </row>
    <row r="62" spans="1:12" ht="13.8" thickBot="1" x14ac:dyDescent="0.3">
      <c r="B62" t="s">
        <v>456</v>
      </c>
      <c r="C62" s="10">
        <f t="shared" ref="C62:K62" si="6">SUBTOTAL(9,C3:C58)</f>
        <v>8458570</v>
      </c>
      <c r="D62" s="10">
        <f t="shared" si="6"/>
        <v>10793408</v>
      </c>
      <c r="E62" s="10">
        <f t="shared" si="6"/>
        <v>5002457</v>
      </c>
      <c r="F62" s="10">
        <f t="shared" si="6"/>
        <v>4901875</v>
      </c>
      <c r="G62" s="10">
        <f t="shared" si="6"/>
        <v>4973734</v>
      </c>
      <c r="H62" s="10">
        <f t="shared" si="6"/>
        <v>6752934</v>
      </c>
      <c r="I62" s="10">
        <f t="shared" si="6"/>
        <v>6810515</v>
      </c>
      <c r="J62" s="10">
        <f t="shared" si="6"/>
        <v>8730183</v>
      </c>
      <c r="K62" s="11">
        <f t="shared" si="6"/>
        <v>56423676</v>
      </c>
    </row>
    <row r="63" spans="1:12" ht="13.8" thickTop="1" x14ac:dyDescent="0.25"/>
    <row r="64" spans="1:12" x14ac:dyDescent="0.25">
      <c r="B64" t="s">
        <v>504</v>
      </c>
      <c r="C64" s="5">
        <f>Estimate!C365</f>
        <v>8458570</v>
      </c>
      <c r="D64" s="5">
        <f>Estimate!D365</f>
        <v>10793408</v>
      </c>
      <c r="E64" s="5">
        <f>Estimate!E365</f>
        <v>5002457</v>
      </c>
      <c r="F64" s="5">
        <f>Estimate!F365</f>
        <v>4901875</v>
      </c>
      <c r="G64" s="5">
        <f>Estimate!G365</f>
        <v>4973734</v>
      </c>
      <c r="H64" s="5">
        <f>Estimate!H365</f>
        <v>6752934</v>
      </c>
      <c r="I64" s="5">
        <f>Estimate!I365</f>
        <v>6810515</v>
      </c>
      <c r="J64" s="5">
        <f>Estimate!J365</f>
        <v>8730183</v>
      </c>
      <c r="K64" s="5">
        <f>Estimate!K365</f>
        <v>56423676</v>
      </c>
    </row>
  </sheetData>
  <mergeCells count="1">
    <mergeCell ref="F1:H1"/>
  </mergeCells>
  <conditionalFormatting sqref="C64:K64">
    <cfRule type="expression" dxfId="20" priority="1">
      <formula>NOT(C64=C62)</formula>
    </cfRule>
  </conditionalFormatting>
  <pageMargins left="0.75" right="0.75" top="1" bottom="1" header="0.5" footer="0.5"/>
  <pageSetup paperSize="9" scale="62" orientation="portrait" r:id="rId1"/>
  <headerFooter alignWithMargins="0">
    <oddFooter>&amp;LBroadleaf Capital International Pty Ltd 2016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tabSelected="1" zoomScaleNormal="100" workbookViewId="0">
      <selection activeCell="J7" sqref="J7"/>
    </sheetView>
  </sheetViews>
  <sheetFormatPr defaultRowHeight="13.2" x14ac:dyDescent="0.25"/>
  <cols>
    <col min="1" max="1" width="8.21875" bestFit="1" customWidth="1"/>
    <col min="2" max="2" width="38.33203125" bestFit="1" customWidth="1"/>
    <col min="3" max="4" width="14.109375" style="50" bestFit="1" customWidth="1"/>
    <col min="5" max="5" width="12.44140625" style="50" bestFit="1" customWidth="1"/>
    <col min="6" max="7" width="14.109375" style="50" bestFit="1" customWidth="1"/>
    <col min="8" max="8" width="12.44140625" style="50" bestFit="1" customWidth="1"/>
    <col min="9" max="10" width="14.109375" style="50" bestFit="1" customWidth="1"/>
  </cols>
  <sheetData>
    <row r="1" spans="1:11" x14ac:dyDescent="0.25">
      <c r="A1" s="83" t="s">
        <v>540</v>
      </c>
      <c r="F1" s="79" t="s">
        <v>0</v>
      </c>
      <c r="G1" s="79"/>
      <c r="H1" s="79"/>
    </row>
    <row r="2" spans="1:11" x14ac:dyDescent="0.25">
      <c r="A2" s="1"/>
      <c r="C2" s="1" t="s">
        <v>1</v>
      </c>
      <c r="D2" s="1" t="s">
        <v>2</v>
      </c>
      <c r="E2" s="1" t="s">
        <v>3</v>
      </c>
      <c r="F2" s="50" t="s">
        <v>4</v>
      </c>
      <c r="G2" s="50" t="s">
        <v>5</v>
      </c>
      <c r="H2" s="50" t="s">
        <v>6</v>
      </c>
      <c r="I2" s="1" t="s">
        <v>7</v>
      </c>
      <c r="J2" s="1" t="s">
        <v>8</v>
      </c>
    </row>
    <row r="3" spans="1:11" x14ac:dyDescent="0.25">
      <c r="A3" s="3"/>
      <c r="B3" s="4" t="s">
        <v>10</v>
      </c>
      <c r="C3" s="52"/>
      <c r="D3" s="52"/>
      <c r="E3" s="52"/>
      <c r="F3" s="52"/>
      <c r="G3" s="52"/>
      <c r="H3" s="52"/>
      <c r="I3" s="52"/>
      <c r="J3" s="52">
        <v>1</v>
      </c>
      <c r="K3" s="5"/>
    </row>
    <row r="4" spans="1:11" x14ac:dyDescent="0.25">
      <c r="A4" s="3"/>
      <c r="B4" s="4" t="s">
        <v>15</v>
      </c>
      <c r="C4" s="52"/>
      <c r="D4" s="52">
        <f t="shared" ref="D4:J4" ca="1" si="0">Provisions</f>
        <v>1.0888888888888881</v>
      </c>
      <c r="E4" s="52">
        <f t="shared" ca="1" si="0"/>
        <v>1.0888888888888881</v>
      </c>
      <c r="F4" s="52">
        <f t="shared" ca="1" si="0"/>
        <v>1.0888888888888881</v>
      </c>
      <c r="G4" s="52"/>
      <c r="H4" s="52"/>
      <c r="I4" s="52"/>
      <c r="J4" s="52">
        <f t="shared" ca="1" si="0"/>
        <v>1.0888888888888881</v>
      </c>
      <c r="K4" s="5"/>
    </row>
    <row r="5" spans="1:11" x14ac:dyDescent="0.25">
      <c r="A5" s="3"/>
      <c r="B5" s="4" t="s">
        <v>26</v>
      </c>
      <c r="K5" s="5"/>
    </row>
    <row r="6" spans="1:11" x14ac:dyDescent="0.25">
      <c r="A6" s="54"/>
      <c r="B6" s="1" t="s">
        <v>519</v>
      </c>
      <c r="C6" s="52">
        <f ca="1">Prelim_running</f>
        <v>1.0431507848773363</v>
      </c>
      <c r="D6" s="52">
        <f t="shared" ref="D6:J6" ca="1" si="1">Prelim_running</f>
        <v>1.0431507848773363</v>
      </c>
      <c r="E6" s="52">
        <f t="shared" ca="1" si="1"/>
        <v>1.0431507848773363</v>
      </c>
      <c r="F6" s="52">
        <f t="shared" ca="1" si="1"/>
        <v>1.0431507848773363</v>
      </c>
      <c r="G6" s="52"/>
      <c r="H6" s="52">
        <f t="shared" ca="1" si="1"/>
        <v>1.0431507848773363</v>
      </c>
      <c r="I6" s="52">
        <f t="shared" ca="1" si="1"/>
        <v>1.0431507848773363</v>
      </c>
      <c r="J6" s="52"/>
      <c r="K6" s="5"/>
    </row>
    <row r="7" spans="1:11" x14ac:dyDescent="0.25">
      <c r="A7" s="54"/>
      <c r="B7" s="1" t="s">
        <v>520</v>
      </c>
      <c r="C7" s="52">
        <f t="shared" ref="C7:J7" ca="1" si="2">Prelim_running*Duration</f>
        <v>1.1935858728531383</v>
      </c>
      <c r="D7" s="52">
        <f t="shared" ca="1" si="2"/>
        <v>1.1935858728531383</v>
      </c>
      <c r="E7" s="52">
        <f t="shared" ca="1" si="2"/>
        <v>1.1935858728531383</v>
      </c>
      <c r="F7" s="52"/>
      <c r="G7" s="52"/>
      <c r="H7" s="52">
        <f t="shared" ca="1" si="2"/>
        <v>1.1935858728531383</v>
      </c>
      <c r="I7" s="52">
        <f t="shared" ca="1" si="2"/>
        <v>1.1935858728531383</v>
      </c>
      <c r="J7" s="52">
        <f t="shared" ca="1" si="2"/>
        <v>1.1935858728531383</v>
      </c>
      <c r="K7" s="5"/>
    </row>
    <row r="8" spans="1:11" x14ac:dyDescent="0.25">
      <c r="A8" s="3"/>
      <c r="B8" s="4" t="s">
        <v>81</v>
      </c>
      <c r="C8" s="53"/>
      <c r="D8" s="53"/>
      <c r="E8" s="53"/>
      <c r="F8" s="53"/>
      <c r="G8" s="53"/>
      <c r="H8" s="53"/>
      <c r="I8" s="53"/>
      <c r="J8" s="53"/>
      <c r="K8" s="5"/>
    </row>
    <row r="9" spans="1:11" x14ac:dyDescent="0.25">
      <c r="A9" s="3"/>
      <c r="B9" s="7" t="s">
        <v>82</v>
      </c>
      <c r="C9" s="53"/>
      <c r="D9" s="53"/>
      <c r="E9" s="53"/>
      <c r="F9" s="53"/>
      <c r="G9" s="53"/>
      <c r="H9" s="53"/>
      <c r="I9" s="53"/>
      <c r="J9" s="53"/>
      <c r="K9" s="5"/>
    </row>
    <row r="10" spans="1:11" x14ac:dyDescent="0.25">
      <c r="A10" s="3"/>
      <c r="B10" s="6" t="s">
        <v>83</v>
      </c>
      <c r="C10" s="52">
        <f ca="1">Q_Eng*R_Staff</f>
        <v>1.0662028426748373</v>
      </c>
      <c r="D10" s="52"/>
      <c r="E10" s="52"/>
      <c r="F10" s="52"/>
      <c r="G10" s="52"/>
      <c r="H10" s="52"/>
      <c r="I10" s="52"/>
      <c r="J10" s="52"/>
      <c r="K10" s="5"/>
    </row>
    <row r="11" spans="1:11" x14ac:dyDescent="0.25">
      <c r="A11" s="3"/>
      <c r="B11" s="6" t="s">
        <v>457</v>
      </c>
      <c r="C11" s="52"/>
      <c r="D11" s="52">
        <f ca="1">Q_Plant*R_Labour*Productivity</f>
        <v>1.2611284265937206</v>
      </c>
      <c r="E11" s="52">
        <f ca="1">Q_Plant*R_Plant*Productivity</f>
        <v>1.1814881208342183</v>
      </c>
      <c r="F11" s="52"/>
      <c r="G11" s="52"/>
      <c r="H11" s="52">
        <f ca="1">Q_Plant*R_General</f>
        <v>1.135013622226662</v>
      </c>
      <c r="I11" s="52"/>
      <c r="J11" s="52"/>
      <c r="K11" s="5"/>
    </row>
    <row r="12" spans="1:11" x14ac:dyDescent="0.25">
      <c r="A12" s="3"/>
      <c r="B12" s="6" t="s">
        <v>95</v>
      </c>
      <c r="C12" s="52"/>
      <c r="D12" s="52">
        <f ca="1">Q_Plant*R_Labour*Productivity</f>
        <v>1.2611284265937206</v>
      </c>
      <c r="E12" s="52">
        <f ca="1">Q_Plant*R_Plant*Productivity</f>
        <v>1.1814881208342183</v>
      </c>
      <c r="F12" s="52"/>
      <c r="G12" s="52"/>
      <c r="H12" s="52">
        <f ca="1">Q_Plant*R_General</f>
        <v>1.135013622226662</v>
      </c>
      <c r="I12" s="52">
        <f ca="1">Q_Plant*R_Subcon</f>
        <v>1.0872085999955585</v>
      </c>
      <c r="J12" s="52">
        <f ca="1">SUMPRODUCT(C12:I12,'Estimate summary'!C12:I12)/SUM('Estimate summary'!C12:I12)</f>
        <v>1.2213397170509435</v>
      </c>
      <c r="K12" s="5"/>
    </row>
    <row r="13" spans="1:11" x14ac:dyDescent="0.25">
      <c r="A13" s="3"/>
      <c r="B13" s="6" t="s">
        <v>100</v>
      </c>
      <c r="C13" s="52">
        <f ca="1">Q_Eng*R_Staff</f>
        <v>1.0662028426748373</v>
      </c>
      <c r="D13" s="52">
        <f ca="1">Q_Eng*R_Labour*Productivity</f>
        <v>1.1838490846347167</v>
      </c>
      <c r="E13" s="52"/>
      <c r="F13" s="52"/>
      <c r="G13" s="52"/>
      <c r="H13" s="52">
        <f ca="1">Q_Eng*R_General</f>
        <v>1.0654623346729486</v>
      </c>
      <c r="I13" s="52"/>
      <c r="J13" s="52"/>
      <c r="K13" s="5"/>
    </row>
    <row r="14" spans="1:11" x14ac:dyDescent="0.25">
      <c r="A14" s="3"/>
      <c r="B14" s="6" t="s">
        <v>101</v>
      </c>
      <c r="C14" s="52"/>
      <c r="D14" s="52">
        <f ca="1">Q_Earth*R_Labour*Productivity</f>
        <v>1.1839923972291246</v>
      </c>
      <c r="E14" s="52">
        <f ca="1">Q_Earth*R_Plant*Productivity</f>
        <v>1.1092232345143185</v>
      </c>
      <c r="F14" s="52">
        <f ca="1">Q_Earth</f>
        <v>1.0431507848773363</v>
      </c>
      <c r="G14" s="52"/>
      <c r="H14" s="52">
        <f ca="1">Q_Earth*R_General</f>
        <v>1.0655913157849906</v>
      </c>
      <c r="I14" s="52">
        <f ca="1">Q_Earth*R_Subcon</f>
        <v>1.020710253969682</v>
      </c>
      <c r="J14" s="52"/>
      <c r="K14" s="5"/>
    </row>
    <row r="15" spans="1:11" x14ac:dyDescent="0.25">
      <c r="A15" s="3"/>
      <c r="B15" s="6" t="s">
        <v>110</v>
      </c>
      <c r="C15" s="52"/>
      <c r="D15" s="52">
        <f ca="1">Q_Earth*R_Labour*Productivity</f>
        <v>1.1839923972291246</v>
      </c>
      <c r="E15" s="52">
        <f ca="1">Q_Earth*R_Plant*Productivity</f>
        <v>1.1092232345143185</v>
      </c>
      <c r="F15" s="52"/>
      <c r="G15" s="52"/>
      <c r="H15" s="52"/>
      <c r="I15" s="52">
        <f ca="1">Q_Earth*R_Subcon</f>
        <v>1.020710253969682</v>
      </c>
      <c r="J15" s="52"/>
      <c r="K15" s="5"/>
    </row>
    <row r="16" spans="1:11" x14ac:dyDescent="0.25">
      <c r="A16" s="3"/>
      <c r="B16" s="6" t="s">
        <v>124</v>
      </c>
      <c r="C16" s="52"/>
      <c r="D16" s="52">
        <f ca="1">Q_Earth*R_Labour*Productivity</f>
        <v>1.1839923972291246</v>
      </c>
      <c r="E16" s="52"/>
      <c r="F16" s="52"/>
      <c r="G16" s="52"/>
      <c r="H16" s="52"/>
      <c r="I16" s="52">
        <f ca="1">Q_Earth*R_Subcon</f>
        <v>1.020710253969682</v>
      </c>
      <c r="J16" s="52"/>
      <c r="K16" s="5"/>
    </row>
    <row r="17" spans="1:11" x14ac:dyDescent="0.25">
      <c r="A17" s="3"/>
      <c r="B17" s="6" t="s">
        <v>135</v>
      </c>
      <c r="C17" s="52"/>
      <c r="D17" s="52">
        <f ca="1">Q_Walls*R_Labour*Productivity</f>
        <v>1.2086720124443779</v>
      </c>
      <c r="E17" s="52">
        <f ca="1">Q_Walls*R_Plant*Productivity</f>
        <v>1.1323443311359671</v>
      </c>
      <c r="F17" s="52">
        <f ca="1">Q_Walls*R_Conc</f>
        <v>1.0877714520432611</v>
      </c>
      <c r="G17" s="52"/>
      <c r="H17" s="52">
        <f ca="1">Q_Walls*R_General</f>
        <v>1.0878029310891382</v>
      </c>
      <c r="I17" s="52">
        <f ca="1">Q_Walls*R_Subcon</f>
        <v>1.0419863503138718</v>
      </c>
      <c r="J17" s="52"/>
      <c r="K17" s="5"/>
    </row>
    <row r="18" spans="1:11" x14ac:dyDescent="0.25">
      <c r="A18" s="3"/>
      <c r="B18" s="6" t="s">
        <v>150</v>
      </c>
      <c r="C18" s="52"/>
      <c r="D18" s="52">
        <f ca="1">Q_Pave*R_Labour*Productivity</f>
        <v>1.1350155839343494</v>
      </c>
      <c r="E18" s="52">
        <f ca="1">Q_Pave*R_Plant*Productivity</f>
        <v>1.0633393087507974</v>
      </c>
      <c r="F18" s="52"/>
      <c r="G18" s="52"/>
      <c r="H18" s="52">
        <f ca="1">Q_Pave*R_General</f>
        <v>1.0215122600039965</v>
      </c>
      <c r="I18" s="52">
        <f ca="1">Q_Pave*R_Subcon</f>
        <v>0.97848773999600347</v>
      </c>
      <c r="J18" s="52"/>
      <c r="K18" s="5"/>
    </row>
    <row r="19" spans="1:11" x14ac:dyDescent="0.25">
      <c r="A19" s="3"/>
      <c r="B19" s="6" t="s">
        <v>168</v>
      </c>
      <c r="C19" s="52"/>
      <c r="D19" s="52">
        <f ca="1">Q_Barrier*R_Labour*Productivity</f>
        <v>1.1854607209980978</v>
      </c>
      <c r="E19" s="52">
        <f ca="1">Q_Barrier*R_Plant*Productivity</f>
        <v>1.1105988335841657</v>
      </c>
      <c r="F19" s="52"/>
      <c r="G19" s="52"/>
      <c r="H19" s="52"/>
      <c r="I19" s="52">
        <f ca="1">Q_Barrier*R_Subcon</f>
        <v>1.0219760839958254</v>
      </c>
      <c r="J19" s="52"/>
      <c r="K19" s="5"/>
    </row>
    <row r="20" spans="1:11" x14ac:dyDescent="0.25">
      <c r="A20" s="3"/>
      <c r="B20" s="6" t="s">
        <v>174</v>
      </c>
      <c r="C20" s="52"/>
      <c r="D20" s="52">
        <f ca="1">Q_Barrier*R_Labour*Productivity</f>
        <v>1.1854607209980978</v>
      </c>
      <c r="E20" s="52">
        <f ca="1">Q_Barrier*R_Plant*Productivity</f>
        <v>1.1105988335841657</v>
      </c>
      <c r="F20" s="52"/>
      <c r="G20" s="52"/>
      <c r="H20" s="52"/>
      <c r="I20" s="52">
        <f ca="1">Q_Barrier*R_Subcon</f>
        <v>1.0219760839958254</v>
      </c>
      <c r="J20" s="52"/>
      <c r="K20" s="5"/>
    </row>
    <row r="21" spans="1:11" x14ac:dyDescent="0.25">
      <c r="A21" s="3"/>
      <c r="B21" s="7" t="s">
        <v>187</v>
      </c>
      <c r="C21" s="53"/>
      <c r="D21" s="53"/>
      <c r="E21" s="53"/>
      <c r="F21" s="53"/>
      <c r="G21" s="53"/>
      <c r="H21" s="53"/>
      <c r="I21" s="53"/>
      <c r="J21" s="53"/>
      <c r="K21" s="5"/>
    </row>
    <row r="22" spans="1:11" x14ac:dyDescent="0.25">
      <c r="A22" s="3"/>
      <c r="B22" s="6" t="s">
        <v>188</v>
      </c>
      <c r="C22" s="52"/>
      <c r="D22" s="52">
        <f t="shared" ref="D22:D30" ca="1" si="3">Q_Earth*R_Labour*Productivity</f>
        <v>1.1839923972291246</v>
      </c>
      <c r="E22" s="52">
        <f t="shared" ref="E22:E30" ca="1" si="4">Q_Earth*R_Plant*Productivity</f>
        <v>1.1092232345143185</v>
      </c>
      <c r="F22" s="52">
        <f t="shared" ref="F22:F30" ca="1" si="5">Q_Earth*R_Conc</f>
        <v>1.0655604795030158</v>
      </c>
      <c r="G22" s="52"/>
      <c r="H22" s="52">
        <f t="shared" ref="H22:H30" ca="1" si="6">Q_Earth*R_General</f>
        <v>1.0655913157849906</v>
      </c>
      <c r="I22" s="52">
        <f t="shared" ref="I22:I30" ca="1" si="7">Q_Earth*R_Subcon</f>
        <v>1.020710253969682</v>
      </c>
      <c r="J22" s="52"/>
      <c r="K22" s="5"/>
    </row>
    <row r="23" spans="1:11" x14ac:dyDescent="0.25">
      <c r="A23" s="3"/>
      <c r="B23" s="6" t="s">
        <v>195</v>
      </c>
      <c r="C23" s="52"/>
      <c r="D23" s="52">
        <f t="shared" ca="1" si="3"/>
        <v>1.1839923972291246</v>
      </c>
      <c r="E23" s="52">
        <f t="shared" ca="1" si="4"/>
        <v>1.1092232345143185</v>
      </c>
      <c r="F23" s="52">
        <f t="shared" ca="1" si="5"/>
        <v>1.0655604795030158</v>
      </c>
      <c r="G23" s="52"/>
      <c r="H23" s="52">
        <f t="shared" ca="1" si="6"/>
        <v>1.0655913157849906</v>
      </c>
      <c r="I23" s="52">
        <f t="shared" ca="1" si="7"/>
        <v>1.020710253969682</v>
      </c>
      <c r="J23" s="52"/>
      <c r="K23" s="5"/>
    </row>
    <row r="24" spans="1:11" x14ac:dyDescent="0.25">
      <c r="A24" s="3"/>
      <c r="B24" s="6" t="s">
        <v>196</v>
      </c>
      <c r="C24" s="52"/>
      <c r="D24" s="52">
        <f t="shared" ca="1" si="3"/>
        <v>1.1839923972291246</v>
      </c>
      <c r="E24" s="52"/>
      <c r="F24" s="52"/>
      <c r="G24" s="52"/>
      <c r="H24" s="52">
        <f t="shared" ca="1" si="6"/>
        <v>1.0655913157849906</v>
      </c>
      <c r="I24" s="52"/>
      <c r="J24" s="52"/>
      <c r="K24" s="5"/>
    </row>
    <row r="25" spans="1:11" x14ac:dyDescent="0.25">
      <c r="A25" s="3"/>
      <c r="B25" s="6" t="s">
        <v>201</v>
      </c>
      <c r="C25" s="52"/>
      <c r="D25" s="52">
        <f t="shared" ca="1" si="3"/>
        <v>1.1839923972291246</v>
      </c>
      <c r="E25" s="52"/>
      <c r="F25" s="52"/>
      <c r="G25" s="52"/>
      <c r="H25" s="52">
        <f t="shared" ca="1" si="6"/>
        <v>1.0655913157849906</v>
      </c>
      <c r="I25" s="52"/>
      <c r="J25" s="52"/>
      <c r="K25" s="5"/>
    </row>
    <row r="26" spans="1:11" x14ac:dyDescent="0.25">
      <c r="A26" s="3"/>
      <c r="B26" s="6" t="s">
        <v>202</v>
      </c>
      <c r="C26" s="52"/>
      <c r="D26" s="52">
        <f t="shared" ca="1" si="3"/>
        <v>1.1839923972291246</v>
      </c>
      <c r="E26" s="52"/>
      <c r="F26" s="52"/>
      <c r="G26" s="52"/>
      <c r="H26" s="52">
        <f t="shared" ca="1" si="6"/>
        <v>1.0655913157849906</v>
      </c>
      <c r="I26" s="52"/>
      <c r="J26" s="52"/>
      <c r="K26" s="5"/>
    </row>
    <row r="27" spans="1:11" x14ac:dyDescent="0.25">
      <c r="A27" s="3"/>
      <c r="B27" s="6" t="s">
        <v>203</v>
      </c>
      <c r="C27" s="52"/>
      <c r="D27" s="52">
        <f t="shared" ca="1" si="3"/>
        <v>1.1839923972291246</v>
      </c>
      <c r="E27" s="52"/>
      <c r="F27" s="52"/>
      <c r="G27" s="52">
        <f t="shared" ref="G22:G30" ca="1" si="8">Q_Earth*R_Steel</f>
        <v>1.0431507848773363</v>
      </c>
      <c r="H27" s="52">
        <f t="shared" ca="1" si="6"/>
        <v>1.0655913157849906</v>
      </c>
      <c r="I27" s="52">
        <f t="shared" ca="1" si="7"/>
        <v>1.020710253969682</v>
      </c>
      <c r="J27" s="52"/>
      <c r="K27" s="5"/>
    </row>
    <row r="28" spans="1:11" x14ac:dyDescent="0.25">
      <c r="A28" s="3"/>
      <c r="B28" s="6" t="s">
        <v>216</v>
      </c>
      <c r="C28" s="52"/>
      <c r="D28" s="52"/>
      <c r="E28" s="52"/>
      <c r="F28" s="52"/>
      <c r="G28" s="52"/>
      <c r="H28" s="52"/>
      <c r="I28" s="52">
        <f t="shared" ca="1" si="7"/>
        <v>1.020710253969682</v>
      </c>
      <c r="J28" s="52"/>
      <c r="K28" s="5"/>
    </row>
    <row r="29" spans="1:11" x14ac:dyDescent="0.25">
      <c r="A29" s="3"/>
      <c r="B29" s="6" t="s">
        <v>225</v>
      </c>
      <c r="C29" s="52"/>
      <c r="D29" s="52">
        <f t="shared" ca="1" si="3"/>
        <v>1.1839923972291246</v>
      </c>
      <c r="E29" s="52">
        <f t="shared" ca="1" si="4"/>
        <v>1.1092232345143185</v>
      </c>
      <c r="F29" s="52"/>
      <c r="G29" s="52"/>
      <c r="H29" s="52">
        <f t="shared" ca="1" si="6"/>
        <v>1.0655913157849906</v>
      </c>
      <c r="I29" s="52">
        <f t="shared" ca="1" si="7"/>
        <v>1.020710253969682</v>
      </c>
      <c r="J29" s="52"/>
      <c r="K29" s="5"/>
    </row>
    <row r="30" spans="1:11" x14ac:dyDescent="0.25">
      <c r="A30" s="3"/>
      <c r="B30" s="6" t="s">
        <v>230</v>
      </c>
      <c r="C30" s="52"/>
      <c r="D30" s="52">
        <f t="shared" ca="1" si="3"/>
        <v>1.1839923972291246</v>
      </c>
      <c r="E30" s="52">
        <f t="shared" ca="1" si="4"/>
        <v>1.1092232345143185</v>
      </c>
      <c r="F30" s="52">
        <f t="shared" ca="1" si="5"/>
        <v>1.0655604795030158</v>
      </c>
      <c r="G30" s="52"/>
      <c r="H30" s="52">
        <f t="shared" ca="1" si="6"/>
        <v>1.0655913157849906</v>
      </c>
      <c r="I30" s="52">
        <f t="shared" ca="1" si="7"/>
        <v>1.020710253969682</v>
      </c>
      <c r="J30" s="52"/>
      <c r="K30" s="5"/>
    </row>
    <row r="31" spans="1:11" x14ac:dyDescent="0.25">
      <c r="A31" s="3"/>
      <c r="B31" s="7" t="s">
        <v>455</v>
      </c>
      <c r="C31" s="53"/>
      <c r="D31" s="53"/>
      <c r="E31" s="53"/>
      <c r="F31" s="53"/>
      <c r="G31" s="53"/>
      <c r="H31" s="53"/>
      <c r="I31" s="53"/>
      <c r="J31" s="53"/>
      <c r="K31" s="5"/>
    </row>
    <row r="32" spans="1:11" x14ac:dyDescent="0.25">
      <c r="A32" s="3"/>
      <c r="B32" s="6" t="s">
        <v>243</v>
      </c>
      <c r="C32" s="52"/>
      <c r="D32" s="52">
        <f ca="1">Q_Pile*R_Labour*Productivity</f>
        <v>1.1839923972291246</v>
      </c>
      <c r="E32" s="52">
        <f ca="1">Q_Pile*R_Plant*Productivity</f>
        <v>1.1092232345143185</v>
      </c>
      <c r="F32" s="52">
        <f ca="1">Q_Pile*R_Conc</f>
        <v>1.0655604795030158</v>
      </c>
      <c r="G32" s="52">
        <f ca="1">Q_Pile*R_Steel</f>
        <v>1.0431507848773363</v>
      </c>
      <c r="H32" s="52"/>
      <c r="I32" s="52">
        <f ca="1">Q_Pile*R_Subcon</f>
        <v>1.020710253969682</v>
      </c>
      <c r="J32" s="52"/>
      <c r="K32" s="5"/>
    </row>
    <row r="33" spans="1:11" x14ac:dyDescent="0.25">
      <c r="A33" s="3"/>
      <c r="B33" s="6" t="s">
        <v>251</v>
      </c>
      <c r="C33" s="52"/>
      <c r="D33" s="52">
        <f t="shared" ref="D33:D38" ca="1" si="9">Q_Conc*R_Labour*Productivity</f>
        <v>1.1594323342845332</v>
      </c>
      <c r="E33" s="52">
        <f t="shared" ref="E33:E38" ca="1" si="10">Q_Conc*R_Plant*Productivity</f>
        <v>1.0862141404331145</v>
      </c>
      <c r="F33" s="52">
        <f t="shared" ref="F33:F38" ca="1" si="11">Q_Conc*R_Conc</f>
        <v>1.0434571007067424</v>
      </c>
      <c r="G33" s="52">
        <f t="shared" ref="G33:G38" ca="1" si="12">Q_Conc*R_Steel</f>
        <v>1.0215122600039965</v>
      </c>
      <c r="H33" s="52">
        <f t="shared" ref="H33:H38" ca="1" si="13">Q_Conc*R_General</f>
        <v>1.0434872973384726</v>
      </c>
      <c r="I33" s="52"/>
      <c r="J33" s="52"/>
      <c r="K33" s="5"/>
    </row>
    <row r="34" spans="1:11" x14ac:dyDescent="0.25">
      <c r="A34" s="3"/>
      <c r="B34" s="6" t="s">
        <v>266</v>
      </c>
      <c r="C34" s="52"/>
      <c r="D34" s="52">
        <f t="shared" ca="1" si="9"/>
        <v>1.1594323342845332</v>
      </c>
      <c r="E34" s="52">
        <f t="shared" ca="1" si="10"/>
        <v>1.0862141404331145</v>
      </c>
      <c r="F34" s="52">
        <f t="shared" ca="1" si="11"/>
        <v>1.0434571007067424</v>
      </c>
      <c r="G34" s="52">
        <f t="shared" ca="1" si="12"/>
        <v>1.0215122600039965</v>
      </c>
      <c r="H34" s="52">
        <f t="shared" ca="1" si="13"/>
        <v>1.0434872973384726</v>
      </c>
      <c r="I34" s="52">
        <f t="shared" ref="I33:I38" ca="1" si="14">Q_Conc*R_Subcon</f>
        <v>0.9995372226695205</v>
      </c>
      <c r="J34" s="52"/>
      <c r="K34" s="5"/>
    </row>
    <row r="35" spans="1:11" x14ac:dyDescent="0.25">
      <c r="A35" s="3"/>
      <c r="B35" s="6" t="s">
        <v>209</v>
      </c>
      <c r="C35" s="52"/>
      <c r="D35" s="52">
        <f t="shared" ca="1" si="9"/>
        <v>1.1594323342845332</v>
      </c>
      <c r="E35" s="52">
        <f t="shared" ca="1" si="10"/>
        <v>1.0862141404331145</v>
      </c>
      <c r="F35" s="52">
        <f t="shared" ca="1" si="11"/>
        <v>1.0434571007067424</v>
      </c>
      <c r="G35" s="52">
        <f t="shared" ca="1" si="12"/>
        <v>1.0215122600039965</v>
      </c>
      <c r="H35" s="52">
        <f t="shared" ca="1" si="13"/>
        <v>1.0434872973384726</v>
      </c>
      <c r="I35" s="52">
        <f t="shared" ca="1" si="14"/>
        <v>0.9995372226695205</v>
      </c>
      <c r="J35" s="52"/>
      <c r="K35" s="5"/>
    </row>
    <row r="36" spans="1:11" x14ac:dyDescent="0.25">
      <c r="A36" s="3"/>
      <c r="B36" s="6" t="s">
        <v>304</v>
      </c>
      <c r="C36" s="52"/>
      <c r="D36" s="52">
        <f t="shared" ca="1" si="9"/>
        <v>1.1594323342845332</v>
      </c>
      <c r="E36" s="52"/>
      <c r="F36" s="52">
        <f t="shared" ca="1" si="11"/>
        <v>1.0434571007067424</v>
      </c>
      <c r="G36" s="52">
        <f t="shared" ca="1" si="12"/>
        <v>1.0215122600039965</v>
      </c>
      <c r="H36" s="52">
        <f t="shared" ca="1" si="13"/>
        <v>1.0434872973384726</v>
      </c>
      <c r="I36" s="52"/>
      <c r="J36" s="52"/>
      <c r="K36" s="5"/>
    </row>
    <row r="37" spans="1:11" x14ac:dyDescent="0.25">
      <c r="A37" s="3"/>
      <c r="B37" s="6" t="s">
        <v>314</v>
      </c>
      <c r="C37" s="52"/>
      <c r="D37" s="52">
        <f t="shared" ca="1" si="9"/>
        <v>1.1594323342845332</v>
      </c>
      <c r="E37" s="52">
        <f t="shared" ca="1" si="10"/>
        <v>1.0862141404331145</v>
      </c>
      <c r="F37" s="52"/>
      <c r="G37" s="52"/>
      <c r="H37" s="52">
        <f t="shared" ca="1" si="13"/>
        <v>1.0434872973384726</v>
      </c>
      <c r="I37" s="52"/>
      <c r="J37" s="52"/>
      <c r="K37" s="5"/>
    </row>
    <row r="38" spans="1:11" x14ac:dyDescent="0.25">
      <c r="A38" s="3"/>
      <c r="B38" s="6" t="s">
        <v>324</v>
      </c>
      <c r="C38" s="52"/>
      <c r="D38" s="52">
        <f t="shared" ca="1" si="9"/>
        <v>1.1594323342845332</v>
      </c>
      <c r="E38" s="52">
        <f t="shared" ca="1" si="10"/>
        <v>1.0862141404331145</v>
      </c>
      <c r="F38" s="52">
        <f t="shared" ca="1" si="11"/>
        <v>1.0434571007067424</v>
      </c>
      <c r="G38" s="52">
        <f t="shared" ca="1" si="12"/>
        <v>1.0215122600039965</v>
      </c>
      <c r="H38" s="52">
        <f t="shared" ca="1" si="13"/>
        <v>1.0434872973384726</v>
      </c>
      <c r="I38" s="52"/>
      <c r="J38" s="52"/>
      <c r="K38" s="5"/>
    </row>
    <row r="39" spans="1:11" x14ac:dyDescent="0.25">
      <c r="A39" s="3"/>
      <c r="B39" s="7" t="s">
        <v>334</v>
      </c>
      <c r="C39" s="52"/>
      <c r="D39" s="52">
        <f ca="1">Q_Earth*R_Labour*Productivity</f>
        <v>1.1839923972291246</v>
      </c>
      <c r="E39" s="52">
        <f ca="1">Q_Earth*R_Plant*Productivity</f>
        <v>1.1092232345143185</v>
      </c>
      <c r="F39" s="52"/>
      <c r="G39" s="52"/>
      <c r="H39" s="52"/>
      <c r="I39" s="52">
        <f ca="1">Q_Earth*R_Subcon</f>
        <v>1.020710253969682</v>
      </c>
      <c r="J39" s="52"/>
      <c r="K39" s="5"/>
    </row>
    <row r="40" spans="1:11" x14ac:dyDescent="0.25">
      <c r="A40" s="3"/>
      <c r="B40" s="7" t="s">
        <v>338</v>
      </c>
      <c r="C40" s="53"/>
      <c r="D40" s="53"/>
      <c r="E40" s="53"/>
      <c r="F40" s="53"/>
      <c r="G40" s="53"/>
      <c r="H40" s="53"/>
      <c r="I40" s="53"/>
      <c r="J40" s="53"/>
      <c r="K40" s="5"/>
    </row>
    <row r="41" spans="1:11" x14ac:dyDescent="0.25">
      <c r="A41" s="3"/>
      <c r="B41" s="6" t="s">
        <v>243</v>
      </c>
      <c r="C41" s="52"/>
      <c r="D41" s="52">
        <f ca="1">Q_Pile*R_Labour*Productivity</f>
        <v>1.1839923972291246</v>
      </c>
      <c r="E41" s="52">
        <f ca="1">Q_Pile*R_Plant*Productivity</f>
        <v>1.1092232345143185</v>
      </c>
      <c r="F41" s="52">
        <f ca="1">Q_Pile*R_Conc</f>
        <v>1.0655604795030158</v>
      </c>
      <c r="G41" s="52">
        <f ca="1">Q_Pile*R_Steel</f>
        <v>1.0431507848773363</v>
      </c>
      <c r="H41" s="52"/>
      <c r="I41" s="52">
        <f ca="1">Q_Pile*R_Subcon</f>
        <v>1.020710253969682</v>
      </c>
      <c r="J41" s="52"/>
      <c r="K41" s="5"/>
    </row>
    <row r="42" spans="1:11" x14ac:dyDescent="0.25">
      <c r="A42" s="3"/>
      <c r="B42" s="6" t="s">
        <v>352</v>
      </c>
      <c r="C42" s="52"/>
      <c r="D42" s="52">
        <f ca="1">Q_Conc*R_Labour*Productivity</f>
        <v>1.1594323342845332</v>
      </c>
      <c r="E42" s="52">
        <f ca="1">Q_Conc*R_Plant*Productivity</f>
        <v>1.0862141404331145</v>
      </c>
      <c r="F42" s="52">
        <f ca="1">Q_Conc*R_Conc</f>
        <v>1.0434571007067424</v>
      </c>
      <c r="G42" s="52">
        <f ca="1">Q_Conc*R_Steel</f>
        <v>1.0215122600039965</v>
      </c>
      <c r="H42" s="52">
        <f ca="1">Q_Conc*R_General</f>
        <v>1.0434872973384726</v>
      </c>
      <c r="I42" s="52"/>
      <c r="J42" s="52"/>
      <c r="K42" s="5"/>
    </row>
    <row r="43" spans="1:11" x14ac:dyDescent="0.25">
      <c r="A43" s="3"/>
      <c r="B43" s="6" t="s">
        <v>354</v>
      </c>
      <c r="C43" s="52"/>
      <c r="D43" s="52">
        <f ca="1">Q_Conc*R_Labour*Productivity</f>
        <v>1.1594323342845332</v>
      </c>
      <c r="E43" s="52">
        <f ca="1">Q_Conc*R_Plant*Productivity</f>
        <v>1.0862141404331145</v>
      </c>
      <c r="F43" s="52">
        <f ca="1">Q_Conc*R_Conc</f>
        <v>1.0434571007067424</v>
      </c>
      <c r="G43" s="52">
        <f ca="1">Q_Conc*R_Steel</f>
        <v>1.0215122600039965</v>
      </c>
      <c r="H43" s="52">
        <f ca="1">Q_Conc*R_General</f>
        <v>1.0434872973384726</v>
      </c>
      <c r="I43" s="52">
        <f ca="1">Q_Conc*R_Subcon</f>
        <v>0.9995372226695205</v>
      </c>
      <c r="J43" s="52"/>
      <c r="K43" s="5"/>
    </row>
    <row r="44" spans="1:11" x14ac:dyDescent="0.25">
      <c r="A44" s="3"/>
      <c r="B44" s="6" t="s">
        <v>4</v>
      </c>
      <c r="C44" s="52"/>
      <c r="D44" s="52">
        <f ca="1">Q_Conc*R_Labour*Productivity</f>
        <v>1.1594323342845332</v>
      </c>
      <c r="E44" s="52">
        <f ca="1">Q_Conc*R_Plant*Productivity</f>
        <v>1.0862141404331145</v>
      </c>
      <c r="F44" s="52">
        <f ca="1">Q_Conc*R_Conc</f>
        <v>1.0434571007067424</v>
      </c>
      <c r="G44" s="52">
        <f ca="1">Q_Conc*R_Steel</f>
        <v>1.0215122600039965</v>
      </c>
      <c r="H44" s="52">
        <f ca="1">Q_Conc*R_General</f>
        <v>1.0434872973384726</v>
      </c>
      <c r="I44" s="52">
        <f ca="1">Q_Conc*R_Subcon</f>
        <v>0.9995372226695205</v>
      </c>
      <c r="J44" s="52">
        <f ca="1">SUMPRODUCT(C44:I44,'Estimate summary'!C44:I44)/SUM('Estimate summary'!C44:I44)</f>
        <v>1.0557454784833873</v>
      </c>
      <c r="K44" s="5"/>
    </row>
    <row r="45" spans="1:11" x14ac:dyDescent="0.25">
      <c r="A45" s="3"/>
      <c r="B45" s="6" t="s">
        <v>174</v>
      </c>
      <c r="C45" s="52"/>
      <c r="D45" s="52">
        <f ca="1">Q_Barrier*R_Labour*Productivity</f>
        <v>1.1854607209980978</v>
      </c>
      <c r="E45" s="52"/>
      <c r="F45" s="52"/>
      <c r="G45" s="52"/>
      <c r="H45" s="52">
        <f ca="1">Q_Barrier*R_General</f>
        <v>1.0669128048930627</v>
      </c>
      <c r="I45" s="52"/>
      <c r="J45" s="52"/>
      <c r="K45" s="5"/>
    </row>
    <row r="46" spans="1:11" x14ac:dyDescent="0.25">
      <c r="A46" s="3"/>
      <c r="B46" s="6" t="s">
        <v>379</v>
      </c>
      <c r="C46" s="52"/>
      <c r="D46" s="52">
        <f ca="1">Q_Barrier*R_Labour*Productivity</f>
        <v>1.1854607209980978</v>
      </c>
      <c r="E46" s="52"/>
      <c r="F46" s="52"/>
      <c r="G46" s="52"/>
      <c r="H46" s="52">
        <f ca="1">Q_Barrier*R_General</f>
        <v>1.0669128048930627</v>
      </c>
      <c r="I46" s="52"/>
      <c r="J46" s="52"/>
      <c r="K46" s="5"/>
    </row>
    <row r="47" spans="1:11" x14ac:dyDescent="0.25">
      <c r="A47" s="3"/>
      <c r="B47" s="6" t="s">
        <v>314</v>
      </c>
      <c r="C47" s="52"/>
      <c r="D47" s="52">
        <f ca="1">Q_Conc*R_Labour*Productivity</f>
        <v>1.1594323342845332</v>
      </c>
      <c r="E47" s="52"/>
      <c r="F47" s="52"/>
      <c r="G47" s="52"/>
      <c r="H47" s="52">
        <f ca="1">Q_Conc*R_General</f>
        <v>1.0434872973384726</v>
      </c>
      <c r="I47" s="52"/>
      <c r="J47" s="52"/>
      <c r="K47" s="5"/>
    </row>
    <row r="48" spans="1:11" x14ac:dyDescent="0.25">
      <c r="A48" s="3"/>
      <c r="B48" s="6" t="s">
        <v>324</v>
      </c>
      <c r="C48" s="52"/>
      <c r="D48" s="52">
        <f ca="1">Q_Conc*R_Labour*Productivity</f>
        <v>1.1594323342845332</v>
      </c>
      <c r="E48" s="52">
        <f ca="1">Q_Conc*R_Plant*Productivity</f>
        <v>1.0862141404331145</v>
      </c>
      <c r="F48" s="52">
        <f ca="1">Q_Conc*R_Conc</f>
        <v>1.0434571007067424</v>
      </c>
      <c r="G48" s="52">
        <f ca="1">Q_Conc*R_Steel</f>
        <v>1.0215122600039965</v>
      </c>
      <c r="H48" s="52">
        <f ca="1">Q_Conc*R_General</f>
        <v>1.0434872973384726</v>
      </c>
      <c r="I48" s="52"/>
      <c r="J48" s="52"/>
      <c r="K48" s="5"/>
    </row>
    <row r="49" spans="1:11" x14ac:dyDescent="0.25">
      <c r="A49" s="3"/>
      <c r="B49" s="6" t="s">
        <v>251</v>
      </c>
      <c r="C49" s="52"/>
      <c r="D49" s="52">
        <f ca="1">Q_Conc*R_Labour*Productivity</f>
        <v>1.1594323342845332</v>
      </c>
      <c r="E49" s="52">
        <f ca="1">Q_Conc*R_Plant*Productivity</f>
        <v>1.0862141404331145</v>
      </c>
      <c r="F49" s="52">
        <f ca="1">Q_Conc*R_Conc</f>
        <v>1.0434571007067424</v>
      </c>
      <c r="G49" s="52">
        <f ca="1">Q_Conc*R_Steel</f>
        <v>1.0215122600039965</v>
      </c>
      <c r="H49" s="52">
        <f ca="1">Q_Conc</f>
        <v>1.0215122600039965</v>
      </c>
      <c r="I49" s="52"/>
      <c r="J49" s="52"/>
      <c r="K49" s="5"/>
    </row>
    <row r="50" spans="1:11" x14ac:dyDescent="0.25">
      <c r="A50" s="3"/>
      <c r="B50" s="7" t="s">
        <v>380</v>
      </c>
      <c r="C50" s="53"/>
      <c r="D50" s="53"/>
      <c r="E50" s="53"/>
      <c r="F50" s="53"/>
      <c r="G50" s="53"/>
      <c r="H50" s="53"/>
      <c r="I50" s="53"/>
      <c r="J50" s="53"/>
      <c r="K50" s="5"/>
    </row>
    <row r="51" spans="1:11" x14ac:dyDescent="0.25">
      <c r="A51" s="3"/>
      <c r="B51" s="6" t="s">
        <v>381</v>
      </c>
      <c r="C51" s="52"/>
      <c r="D51" s="52">
        <f ca="1">Q_Conc*R_Labour*Productivity</f>
        <v>1.1594323342845332</v>
      </c>
      <c r="E51" s="52">
        <f ca="1">Q_Conc*R_Plant*Productivity</f>
        <v>1.0862141404331145</v>
      </c>
      <c r="F51" s="52"/>
      <c r="G51" s="52"/>
      <c r="H51" s="52">
        <f ca="1">Q_Conc*R_General</f>
        <v>1.0434872973384726</v>
      </c>
      <c r="I51" s="52"/>
      <c r="J51" s="52"/>
      <c r="K51" s="5"/>
    </row>
    <row r="52" spans="1:11" x14ac:dyDescent="0.25">
      <c r="A52" s="3"/>
      <c r="B52" s="6" t="s">
        <v>366</v>
      </c>
      <c r="C52" s="52"/>
      <c r="D52" s="52">
        <f ca="1">Q_Conc*R_Labour*Productivity</f>
        <v>1.1594323342845332</v>
      </c>
      <c r="E52" s="52"/>
      <c r="F52" s="52"/>
      <c r="G52" s="52"/>
      <c r="H52" s="52">
        <f ca="1">Q_Conc*R_General</f>
        <v>1.0434872973384726</v>
      </c>
      <c r="I52" s="52"/>
      <c r="J52" s="52"/>
      <c r="K52" s="5"/>
    </row>
    <row r="53" spans="1:11" x14ac:dyDescent="0.25">
      <c r="A53" s="3"/>
      <c r="B53" s="6" t="s">
        <v>388</v>
      </c>
      <c r="C53" s="52"/>
      <c r="D53" s="52">
        <f ca="1">Q_Conc*R_Labour*Productivity</f>
        <v>1.1594323342845332</v>
      </c>
      <c r="E53" s="52">
        <f ca="1">Q_Conc*R_Plant*Productivity</f>
        <v>1.0862141404331145</v>
      </c>
      <c r="F53" s="52">
        <f ca="1">Q_Conc*R_Conc</f>
        <v>1.0434571007067424</v>
      </c>
      <c r="G53" s="52">
        <f ca="1">Q_Conc*R_Steel</f>
        <v>1.0215122600039965</v>
      </c>
      <c r="H53" s="52">
        <f ca="1">Q_Conc*R_General</f>
        <v>1.0434872973384726</v>
      </c>
      <c r="I53" s="52"/>
      <c r="J53" s="52"/>
      <c r="K53" s="5"/>
    </row>
    <row r="54" spans="1:11" x14ac:dyDescent="0.25">
      <c r="A54" s="3"/>
      <c r="B54" s="6" t="s">
        <v>395</v>
      </c>
      <c r="C54" s="52"/>
      <c r="D54" s="52">
        <f ca="1">Q_Barrier*R_Labour*Productivity</f>
        <v>1.1854607209980978</v>
      </c>
      <c r="E54" s="52"/>
      <c r="F54" s="52"/>
      <c r="G54" s="52"/>
      <c r="H54" s="52">
        <f ca="1">Q_Barrier*R_General</f>
        <v>1.0669128048930627</v>
      </c>
      <c r="I54" s="52"/>
      <c r="J54" s="52"/>
      <c r="K54" s="5"/>
    </row>
    <row r="55" spans="1:11" x14ac:dyDescent="0.25">
      <c r="A55" s="3"/>
      <c r="B55" s="6" t="s">
        <v>379</v>
      </c>
      <c r="C55" s="52"/>
      <c r="D55" s="52">
        <f ca="1">Q_Barrier*R_Labour*Productivity</f>
        <v>1.1854607209980978</v>
      </c>
      <c r="E55" s="52"/>
      <c r="F55" s="52"/>
      <c r="G55" s="52"/>
      <c r="H55" s="52">
        <f ca="1">Q_Barrier*R_General</f>
        <v>1.0669128048930627</v>
      </c>
      <c r="I55" s="52"/>
      <c r="J55" s="52"/>
      <c r="K55" s="5"/>
    </row>
    <row r="56" spans="1:11" x14ac:dyDescent="0.25">
      <c r="A56" s="3"/>
      <c r="B56" s="6" t="s">
        <v>314</v>
      </c>
      <c r="C56" s="52"/>
      <c r="D56" s="52">
        <f ca="1">Q_Conc*R_Labour*Productivity</f>
        <v>1.1594323342845332</v>
      </c>
      <c r="E56" s="52"/>
      <c r="F56" s="52"/>
      <c r="G56" s="52"/>
      <c r="H56" s="52">
        <f ca="1">Q_Conc*R_General</f>
        <v>1.0434872973384726</v>
      </c>
      <c r="I56" s="52"/>
      <c r="J56" s="52"/>
      <c r="K56" s="5"/>
    </row>
    <row r="57" spans="1:11" x14ac:dyDescent="0.25">
      <c r="A57" s="3"/>
      <c r="B57" s="6" t="s">
        <v>397</v>
      </c>
      <c r="C57" s="52"/>
      <c r="D57" s="52">
        <f ca="1">Q_Conc*R_Labour*Productivity</f>
        <v>1.1594323342845332</v>
      </c>
      <c r="E57" s="52">
        <f ca="1">Q_Conc*R_Plant*Productivity</f>
        <v>1.0862141404331145</v>
      </c>
      <c r="F57" s="52">
        <f ca="1">Q_Conc*R_Conc</f>
        <v>1.0434571007067424</v>
      </c>
      <c r="G57" s="52">
        <f ca="1">Q_Conc*R_Steel</f>
        <v>1.0215122600039965</v>
      </c>
      <c r="H57" s="52">
        <f ca="1">Q_Conc*R_General</f>
        <v>1.0434872973384726</v>
      </c>
      <c r="I57" s="52"/>
      <c r="J57" s="52"/>
      <c r="K57" s="5"/>
    </row>
    <row r="58" spans="1:11" x14ac:dyDescent="0.25">
      <c r="A58" s="3"/>
      <c r="B58" s="6" t="s">
        <v>398</v>
      </c>
      <c r="C58" s="52"/>
      <c r="D58" s="52">
        <f ca="1">Q_Conc*R_Labour*Productivity</f>
        <v>1.1594323342845332</v>
      </c>
      <c r="E58" s="52">
        <f ca="1">Q_Conc*R_Plant*Productivity</f>
        <v>1.0862141404331145</v>
      </c>
      <c r="F58" s="52">
        <f ca="1">Q_Conc*R_Conc</f>
        <v>1.0434571007067424</v>
      </c>
      <c r="G58" s="52">
        <f ca="1">Q_Conc*R_Steel</f>
        <v>1.0215122600039965</v>
      </c>
      <c r="H58" s="52">
        <f ca="1">Q_Conc*R_General</f>
        <v>1.0434872973384726</v>
      </c>
      <c r="I58" s="52"/>
      <c r="J58" s="52"/>
      <c r="K58" s="5"/>
    </row>
    <row r="59" spans="1:11" x14ac:dyDescent="0.25">
      <c r="A59" s="3"/>
      <c r="C59" s="51"/>
      <c r="D59" s="51"/>
      <c r="E59" s="51"/>
      <c r="F59" s="51"/>
      <c r="G59" s="51"/>
      <c r="H59" s="51"/>
      <c r="I59" s="51"/>
      <c r="J59" s="51"/>
    </row>
    <row r="60" spans="1:11" x14ac:dyDescent="0.25">
      <c r="A60" s="3"/>
      <c r="C60" s="51"/>
      <c r="D60" s="51"/>
      <c r="E60" s="51"/>
      <c r="F60" s="51"/>
      <c r="G60" s="51"/>
      <c r="H60" s="51"/>
      <c r="I60" s="51"/>
      <c r="J60" s="51"/>
    </row>
  </sheetData>
  <mergeCells count="1">
    <mergeCell ref="F1:H1"/>
  </mergeCells>
  <pageMargins left="0.75" right="0.75" top="1" bottom="1" header="0.5" footer="0.5"/>
  <pageSetup paperSize="9" scale="62" orientation="portrait" r:id="rId1"/>
  <headerFooter alignWithMargins="0">
    <oddFooter>&amp;LBroadleaf Capital International Pty Ltd 2016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ED1F2163-2DB5-4004-A674-74C1C80C1ADF}">
            <xm:f>'Estimate summary'!C3=0</xm:f>
            <x14:dxf>
              <fill>
                <patternFill>
                  <bgColor theme="8" tint="0.59996337778862885"/>
                </patternFill>
              </fill>
            </x14:dxf>
          </x14:cfRule>
          <xm:sqref>C3:J4</xm:sqref>
        </x14:conditionalFormatting>
        <x14:conditionalFormatting xmlns:xm="http://schemas.microsoft.com/office/excel/2006/main">
          <x14:cfRule type="expression" priority="7" id="{4CD969F0-47C0-4E11-9019-868E5B140CF7}">
            <xm:f>'Estimate summary'!C6=0</xm:f>
            <x14:dxf>
              <fill>
                <patternFill>
                  <bgColor theme="8" tint="0.59996337778862885"/>
                </patternFill>
              </fill>
            </x14:dxf>
          </x14:cfRule>
          <xm:sqref>C6:J7</xm:sqref>
        </x14:conditionalFormatting>
        <x14:conditionalFormatting xmlns:xm="http://schemas.microsoft.com/office/excel/2006/main">
          <x14:cfRule type="expression" priority="6" id="{3F350B16-235B-4E96-9AE1-B2913D6D54EC}">
            <xm:f>'Estimate summary'!C10=0</xm:f>
            <x14:dxf>
              <fill>
                <patternFill>
                  <bgColor theme="8" tint="0.59996337778862885"/>
                </patternFill>
              </fill>
            </x14:dxf>
          </x14:cfRule>
          <xm:sqref>C10:J20</xm:sqref>
        </x14:conditionalFormatting>
        <x14:conditionalFormatting xmlns:xm="http://schemas.microsoft.com/office/excel/2006/main">
          <x14:cfRule type="expression" priority="5" id="{73DAA1D2-6730-429B-9181-07BD17AEA5EF}">
            <xm:f>'Estimate summary'!C22=0</xm:f>
            <x14:dxf>
              <fill>
                <patternFill>
                  <bgColor theme="8" tint="0.59996337778862885"/>
                </patternFill>
              </fill>
            </x14:dxf>
          </x14:cfRule>
          <xm:sqref>C22:J30</xm:sqref>
        </x14:conditionalFormatting>
        <x14:conditionalFormatting xmlns:xm="http://schemas.microsoft.com/office/excel/2006/main">
          <x14:cfRule type="expression" priority="4" id="{ED2BB9C1-E9C4-4001-99B2-4B6CB9BBE66F}">
            <xm:f>'Estimate summary'!C32=0</xm:f>
            <x14:dxf>
              <fill>
                <patternFill>
                  <bgColor theme="8" tint="0.59996337778862885"/>
                </patternFill>
              </fill>
            </x14:dxf>
          </x14:cfRule>
          <xm:sqref>C32:J39</xm:sqref>
        </x14:conditionalFormatting>
        <x14:conditionalFormatting xmlns:xm="http://schemas.microsoft.com/office/excel/2006/main">
          <x14:cfRule type="expression" priority="3" id="{6E7EFCE0-13DD-45F8-ACD7-8D60A39D4859}">
            <xm:f>'Estimate summary'!C41=0</xm:f>
            <x14:dxf>
              <fill>
                <patternFill>
                  <bgColor theme="8" tint="0.59996337778862885"/>
                </patternFill>
              </fill>
            </x14:dxf>
          </x14:cfRule>
          <xm:sqref>C41:J43 C45:J49 C44:I44</xm:sqref>
        </x14:conditionalFormatting>
        <x14:conditionalFormatting xmlns:xm="http://schemas.microsoft.com/office/excel/2006/main">
          <x14:cfRule type="expression" priority="2" id="{A775DAED-70EF-4E6E-B57E-14260FAC19AC}">
            <xm:f>'Estimate summary'!C51=0</xm:f>
            <x14:dxf>
              <fill>
                <patternFill>
                  <bgColor theme="8" tint="0.59996337778862885"/>
                </patternFill>
              </fill>
            </x14:dxf>
          </x14:cfRule>
          <xm:sqref>C51:J58</xm:sqref>
        </x14:conditionalFormatting>
        <x14:conditionalFormatting xmlns:xm="http://schemas.microsoft.com/office/excel/2006/main">
          <x14:cfRule type="expression" priority="1" id="{D878C0D3-76CF-4D5E-97B4-CBBA4C673FDA}">
            <xm:f>'Estimate summary'!J44=0</xm:f>
            <x14:dxf>
              <fill>
                <patternFill>
                  <bgColor theme="8" tint="0.59996337778862885"/>
                </patternFill>
              </fill>
            </x14:dxf>
          </x14:cfRule>
          <xm:sqref>J44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0"/>
  <sheetViews>
    <sheetView zoomScaleNormal="100" workbookViewId="0">
      <selection activeCell="B31" sqref="B31"/>
    </sheetView>
  </sheetViews>
  <sheetFormatPr defaultRowHeight="13.2" x14ac:dyDescent="0.25"/>
  <cols>
    <col min="1" max="1" width="10.109375" style="35" bestFit="1" customWidth="1"/>
    <col min="2" max="3" width="8.88671875" style="35"/>
    <col min="4" max="4" width="7.88671875" style="35" bestFit="1" customWidth="1"/>
    <col min="5" max="8" width="8.88671875" style="35"/>
    <col min="9" max="10" width="9.6640625" style="35" bestFit="1" customWidth="1"/>
    <col min="11" max="11" width="8.88671875" style="35"/>
    <col min="12" max="12" width="9.5546875" style="35" bestFit="1" customWidth="1"/>
    <col min="13" max="256" width="8.88671875" style="35"/>
    <col min="257" max="257" width="10.109375" style="35" bestFit="1" customWidth="1"/>
    <col min="258" max="259" width="8.88671875" style="35"/>
    <col min="260" max="260" width="7.88671875" style="35" bestFit="1" customWidth="1"/>
    <col min="261" max="264" width="8.88671875" style="35"/>
    <col min="265" max="265" width="9.44140625" style="35" bestFit="1" customWidth="1"/>
    <col min="266" max="266" width="9.6640625" style="35" bestFit="1" customWidth="1"/>
    <col min="267" max="512" width="8.88671875" style="35"/>
    <col min="513" max="513" width="10.109375" style="35" bestFit="1" customWidth="1"/>
    <col min="514" max="515" width="8.88671875" style="35"/>
    <col min="516" max="516" width="7.88671875" style="35" bestFit="1" customWidth="1"/>
    <col min="517" max="520" width="8.88671875" style="35"/>
    <col min="521" max="521" width="9.44140625" style="35" bestFit="1" customWidth="1"/>
    <col min="522" max="522" width="9.6640625" style="35" bestFit="1" customWidth="1"/>
    <col min="523" max="768" width="8.88671875" style="35"/>
    <col min="769" max="769" width="10.109375" style="35" bestFit="1" customWidth="1"/>
    <col min="770" max="771" width="8.88671875" style="35"/>
    <col min="772" max="772" width="7.88671875" style="35" bestFit="1" customWidth="1"/>
    <col min="773" max="776" width="8.88671875" style="35"/>
    <col min="777" max="777" width="9.44140625" style="35" bestFit="1" customWidth="1"/>
    <col min="778" max="778" width="9.6640625" style="35" bestFit="1" customWidth="1"/>
    <col min="779" max="1024" width="8.88671875" style="35"/>
    <col min="1025" max="1025" width="10.109375" style="35" bestFit="1" customWidth="1"/>
    <col min="1026" max="1027" width="8.88671875" style="35"/>
    <col min="1028" max="1028" width="7.88671875" style="35" bestFit="1" customWidth="1"/>
    <col min="1029" max="1032" width="8.88671875" style="35"/>
    <col min="1033" max="1033" width="9.44140625" style="35" bestFit="1" customWidth="1"/>
    <col min="1034" max="1034" width="9.6640625" style="35" bestFit="1" customWidth="1"/>
    <col min="1035" max="1280" width="8.88671875" style="35"/>
    <col min="1281" max="1281" width="10.109375" style="35" bestFit="1" customWidth="1"/>
    <col min="1282" max="1283" width="8.88671875" style="35"/>
    <col min="1284" max="1284" width="7.88671875" style="35" bestFit="1" customWidth="1"/>
    <col min="1285" max="1288" width="8.88671875" style="35"/>
    <col min="1289" max="1289" width="9.44140625" style="35" bestFit="1" customWidth="1"/>
    <col min="1290" max="1290" width="9.6640625" style="35" bestFit="1" customWidth="1"/>
    <col min="1291" max="1536" width="8.88671875" style="35"/>
    <col min="1537" max="1537" width="10.109375" style="35" bestFit="1" customWidth="1"/>
    <col min="1538" max="1539" width="8.88671875" style="35"/>
    <col min="1540" max="1540" width="7.88671875" style="35" bestFit="1" customWidth="1"/>
    <col min="1541" max="1544" width="8.88671875" style="35"/>
    <col min="1545" max="1545" width="9.44140625" style="35" bestFit="1" customWidth="1"/>
    <col min="1546" max="1546" width="9.6640625" style="35" bestFit="1" customWidth="1"/>
    <col min="1547" max="1792" width="8.88671875" style="35"/>
    <col min="1793" max="1793" width="10.109375" style="35" bestFit="1" customWidth="1"/>
    <col min="1794" max="1795" width="8.88671875" style="35"/>
    <col min="1796" max="1796" width="7.88671875" style="35" bestFit="1" customWidth="1"/>
    <col min="1797" max="1800" width="8.88671875" style="35"/>
    <col min="1801" max="1801" width="9.44140625" style="35" bestFit="1" customWidth="1"/>
    <col min="1802" max="1802" width="9.6640625" style="35" bestFit="1" customWidth="1"/>
    <col min="1803" max="2048" width="8.88671875" style="35"/>
    <col min="2049" max="2049" width="10.109375" style="35" bestFit="1" customWidth="1"/>
    <col min="2050" max="2051" width="8.88671875" style="35"/>
    <col min="2052" max="2052" width="7.88671875" style="35" bestFit="1" customWidth="1"/>
    <col min="2053" max="2056" width="8.88671875" style="35"/>
    <col min="2057" max="2057" width="9.44140625" style="35" bestFit="1" customWidth="1"/>
    <col min="2058" max="2058" width="9.6640625" style="35" bestFit="1" customWidth="1"/>
    <col min="2059" max="2304" width="8.88671875" style="35"/>
    <col min="2305" max="2305" width="10.109375" style="35" bestFit="1" customWidth="1"/>
    <col min="2306" max="2307" width="8.88671875" style="35"/>
    <col min="2308" max="2308" width="7.88671875" style="35" bestFit="1" customWidth="1"/>
    <col min="2309" max="2312" width="8.88671875" style="35"/>
    <col min="2313" max="2313" width="9.44140625" style="35" bestFit="1" customWidth="1"/>
    <col min="2314" max="2314" width="9.6640625" style="35" bestFit="1" customWidth="1"/>
    <col min="2315" max="2560" width="8.88671875" style="35"/>
    <col min="2561" max="2561" width="10.109375" style="35" bestFit="1" customWidth="1"/>
    <col min="2562" max="2563" width="8.88671875" style="35"/>
    <col min="2564" max="2564" width="7.88671875" style="35" bestFit="1" customWidth="1"/>
    <col min="2565" max="2568" width="8.88671875" style="35"/>
    <col min="2569" max="2569" width="9.44140625" style="35" bestFit="1" customWidth="1"/>
    <col min="2570" max="2570" width="9.6640625" style="35" bestFit="1" customWidth="1"/>
    <col min="2571" max="2816" width="8.88671875" style="35"/>
    <col min="2817" max="2817" width="10.109375" style="35" bestFit="1" customWidth="1"/>
    <col min="2818" max="2819" width="8.88671875" style="35"/>
    <col min="2820" max="2820" width="7.88671875" style="35" bestFit="1" customWidth="1"/>
    <col min="2821" max="2824" width="8.88671875" style="35"/>
    <col min="2825" max="2825" width="9.44140625" style="35" bestFit="1" customWidth="1"/>
    <col min="2826" max="2826" width="9.6640625" style="35" bestFit="1" customWidth="1"/>
    <col min="2827" max="3072" width="8.88671875" style="35"/>
    <col min="3073" max="3073" width="10.109375" style="35" bestFit="1" customWidth="1"/>
    <col min="3074" max="3075" width="8.88671875" style="35"/>
    <col min="3076" max="3076" width="7.88671875" style="35" bestFit="1" customWidth="1"/>
    <col min="3077" max="3080" width="8.88671875" style="35"/>
    <col min="3081" max="3081" width="9.44140625" style="35" bestFit="1" customWidth="1"/>
    <col min="3082" max="3082" width="9.6640625" style="35" bestFit="1" customWidth="1"/>
    <col min="3083" max="3328" width="8.88671875" style="35"/>
    <col min="3329" max="3329" width="10.109375" style="35" bestFit="1" customWidth="1"/>
    <col min="3330" max="3331" width="8.88671875" style="35"/>
    <col min="3332" max="3332" width="7.88671875" style="35" bestFit="1" customWidth="1"/>
    <col min="3333" max="3336" width="8.88671875" style="35"/>
    <col min="3337" max="3337" width="9.44140625" style="35" bestFit="1" customWidth="1"/>
    <col min="3338" max="3338" width="9.6640625" style="35" bestFit="1" customWidth="1"/>
    <col min="3339" max="3584" width="8.88671875" style="35"/>
    <col min="3585" max="3585" width="10.109375" style="35" bestFit="1" customWidth="1"/>
    <col min="3586" max="3587" width="8.88671875" style="35"/>
    <col min="3588" max="3588" width="7.88671875" style="35" bestFit="1" customWidth="1"/>
    <col min="3589" max="3592" width="8.88671875" style="35"/>
    <col min="3593" max="3593" width="9.44140625" style="35" bestFit="1" customWidth="1"/>
    <col min="3594" max="3594" width="9.6640625" style="35" bestFit="1" customWidth="1"/>
    <col min="3595" max="3840" width="8.88671875" style="35"/>
    <col min="3841" max="3841" width="10.109375" style="35" bestFit="1" customWidth="1"/>
    <col min="3842" max="3843" width="8.88671875" style="35"/>
    <col min="3844" max="3844" width="7.88671875" style="35" bestFit="1" customWidth="1"/>
    <col min="3845" max="3848" width="8.88671875" style="35"/>
    <col min="3849" max="3849" width="9.44140625" style="35" bestFit="1" customWidth="1"/>
    <col min="3850" max="3850" width="9.6640625" style="35" bestFit="1" customWidth="1"/>
    <col min="3851" max="4096" width="8.88671875" style="35"/>
    <col min="4097" max="4097" width="10.109375" style="35" bestFit="1" customWidth="1"/>
    <col min="4098" max="4099" width="8.88671875" style="35"/>
    <col min="4100" max="4100" width="7.88671875" style="35" bestFit="1" customWidth="1"/>
    <col min="4101" max="4104" width="8.88671875" style="35"/>
    <col min="4105" max="4105" width="9.44140625" style="35" bestFit="1" customWidth="1"/>
    <col min="4106" max="4106" width="9.6640625" style="35" bestFit="1" customWidth="1"/>
    <col min="4107" max="4352" width="8.88671875" style="35"/>
    <col min="4353" max="4353" width="10.109375" style="35" bestFit="1" customWidth="1"/>
    <col min="4354" max="4355" width="8.88671875" style="35"/>
    <col min="4356" max="4356" width="7.88671875" style="35" bestFit="1" customWidth="1"/>
    <col min="4357" max="4360" width="8.88671875" style="35"/>
    <col min="4361" max="4361" width="9.44140625" style="35" bestFit="1" customWidth="1"/>
    <col min="4362" max="4362" width="9.6640625" style="35" bestFit="1" customWidth="1"/>
    <col min="4363" max="4608" width="8.88671875" style="35"/>
    <col min="4609" max="4609" width="10.109375" style="35" bestFit="1" customWidth="1"/>
    <col min="4610" max="4611" width="8.88671875" style="35"/>
    <col min="4612" max="4612" width="7.88671875" style="35" bestFit="1" customWidth="1"/>
    <col min="4613" max="4616" width="8.88671875" style="35"/>
    <col min="4617" max="4617" width="9.44140625" style="35" bestFit="1" customWidth="1"/>
    <col min="4618" max="4618" width="9.6640625" style="35" bestFit="1" customWidth="1"/>
    <col min="4619" max="4864" width="8.88671875" style="35"/>
    <col min="4865" max="4865" width="10.109375" style="35" bestFit="1" customWidth="1"/>
    <col min="4866" max="4867" width="8.88671875" style="35"/>
    <col min="4868" max="4868" width="7.88671875" style="35" bestFit="1" customWidth="1"/>
    <col min="4869" max="4872" width="8.88671875" style="35"/>
    <col min="4873" max="4873" width="9.44140625" style="35" bestFit="1" customWidth="1"/>
    <col min="4874" max="4874" width="9.6640625" style="35" bestFit="1" customWidth="1"/>
    <col min="4875" max="5120" width="8.88671875" style="35"/>
    <col min="5121" max="5121" width="10.109375" style="35" bestFit="1" customWidth="1"/>
    <col min="5122" max="5123" width="8.88671875" style="35"/>
    <col min="5124" max="5124" width="7.88671875" style="35" bestFit="1" customWidth="1"/>
    <col min="5125" max="5128" width="8.88671875" style="35"/>
    <col min="5129" max="5129" width="9.44140625" style="35" bestFit="1" customWidth="1"/>
    <col min="5130" max="5130" width="9.6640625" style="35" bestFit="1" customWidth="1"/>
    <col min="5131" max="5376" width="8.88671875" style="35"/>
    <col min="5377" max="5377" width="10.109375" style="35" bestFit="1" customWidth="1"/>
    <col min="5378" max="5379" width="8.88671875" style="35"/>
    <col min="5380" max="5380" width="7.88671875" style="35" bestFit="1" customWidth="1"/>
    <col min="5381" max="5384" width="8.88671875" style="35"/>
    <col min="5385" max="5385" width="9.44140625" style="35" bestFit="1" customWidth="1"/>
    <col min="5386" max="5386" width="9.6640625" style="35" bestFit="1" customWidth="1"/>
    <col min="5387" max="5632" width="8.88671875" style="35"/>
    <col min="5633" max="5633" width="10.109375" style="35" bestFit="1" customWidth="1"/>
    <col min="5634" max="5635" width="8.88671875" style="35"/>
    <col min="5636" max="5636" width="7.88671875" style="35" bestFit="1" customWidth="1"/>
    <col min="5637" max="5640" width="8.88671875" style="35"/>
    <col min="5641" max="5641" width="9.44140625" style="35" bestFit="1" customWidth="1"/>
    <col min="5642" max="5642" width="9.6640625" style="35" bestFit="1" customWidth="1"/>
    <col min="5643" max="5888" width="8.88671875" style="35"/>
    <col min="5889" max="5889" width="10.109375" style="35" bestFit="1" customWidth="1"/>
    <col min="5890" max="5891" width="8.88671875" style="35"/>
    <col min="5892" max="5892" width="7.88671875" style="35" bestFit="1" customWidth="1"/>
    <col min="5893" max="5896" width="8.88671875" style="35"/>
    <col min="5897" max="5897" width="9.44140625" style="35" bestFit="1" customWidth="1"/>
    <col min="5898" max="5898" width="9.6640625" style="35" bestFit="1" customWidth="1"/>
    <col min="5899" max="6144" width="8.88671875" style="35"/>
    <col min="6145" max="6145" width="10.109375" style="35" bestFit="1" customWidth="1"/>
    <col min="6146" max="6147" width="8.88671875" style="35"/>
    <col min="6148" max="6148" width="7.88671875" style="35" bestFit="1" customWidth="1"/>
    <col min="6149" max="6152" width="8.88671875" style="35"/>
    <col min="6153" max="6153" width="9.44140625" style="35" bestFit="1" customWidth="1"/>
    <col min="6154" max="6154" width="9.6640625" style="35" bestFit="1" customWidth="1"/>
    <col min="6155" max="6400" width="8.88671875" style="35"/>
    <col min="6401" max="6401" width="10.109375" style="35" bestFit="1" customWidth="1"/>
    <col min="6402" max="6403" width="8.88671875" style="35"/>
    <col min="6404" max="6404" width="7.88671875" style="35" bestFit="1" customWidth="1"/>
    <col min="6405" max="6408" width="8.88671875" style="35"/>
    <col min="6409" max="6409" width="9.44140625" style="35" bestFit="1" customWidth="1"/>
    <col min="6410" max="6410" width="9.6640625" style="35" bestFit="1" customWidth="1"/>
    <col min="6411" max="6656" width="8.88671875" style="35"/>
    <col min="6657" max="6657" width="10.109375" style="35" bestFit="1" customWidth="1"/>
    <col min="6658" max="6659" width="8.88671875" style="35"/>
    <col min="6660" max="6660" width="7.88671875" style="35" bestFit="1" customWidth="1"/>
    <col min="6661" max="6664" width="8.88671875" style="35"/>
    <col min="6665" max="6665" width="9.44140625" style="35" bestFit="1" customWidth="1"/>
    <col min="6666" max="6666" width="9.6640625" style="35" bestFit="1" customWidth="1"/>
    <col min="6667" max="6912" width="8.88671875" style="35"/>
    <col min="6913" max="6913" width="10.109375" style="35" bestFit="1" customWidth="1"/>
    <col min="6914" max="6915" width="8.88671875" style="35"/>
    <col min="6916" max="6916" width="7.88671875" style="35" bestFit="1" customWidth="1"/>
    <col min="6917" max="6920" width="8.88671875" style="35"/>
    <col min="6921" max="6921" width="9.44140625" style="35" bestFit="1" customWidth="1"/>
    <col min="6922" max="6922" width="9.6640625" style="35" bestFit="1" customWidth="1"/>
    <col min="6923" max="7168" width="8.88671875" style="35"/>
    <col min="7169" max="7169" width="10.109375" style="35" bestFit="1" customWidth="1"/>
    <col min="7170" max="7171" width="8.88671875" style="35"/>
    <col min="7172" max="7172" width="7.88671875" style="35" bestFit="1" customWidth="1"/>
    <col min="7173" max="7176" width="8.88671875" style="35"/>
    <col min="7177" max="7177" width="9.44140625" style="35" bestFit="1" customWidth="1"/>
    <col min="7178" max="7178" width="9.6640625" style="35" bestFit="1" customWidth="1"/>
    <col min="7179" max="7424" width="8.88671875" style="35"/>
    <col min="7425" max="7425" width="10.109375" style="35" bestFit="1" customWidth="1"/>
    <col min="7426" max="7427" width="8.88671875" style="35"/>
    <col min="7428" max="7428" width="7.88671875" style="35" bestFit="1" customWidth="1"/>
    <col min="7429" max="7432" width="8.88671875" style="35"/>
    <col min="7433" max="7433" width="9.44140625" style="35" bestFit="1" customWidth="1"/>
    <col min="7434" max="7434" width="9.6640625" style="35" bestFit="1" customWidth="1"/>
    <col min="7435" max="7680" width="8.88671875" style="35"/>
    <col min="7681" max="7681" width="10.109375" style="35" bestFit="1" customWidth="1"/>
    <col min="7682" max="7683" width="8.88671875" style="35"/>
    <col min="7684" max="7684" width="7.88671875" style="35" bestFit="1" customWidth="1"/>
    <col min="7685" max="7688" width="8.88671875" style="35"/>
    <col min="7689" max="7689" width="9.44140625" style="35" bestFit="1" customWidth="1"/>
    <col min="7690" max="7690" width="9.6640625" style="35" bestFit="1" customWidth="1"/>
    <col min="7691" max="7936" width="8.88671875" style="35"/>
    <col min="7937" max="7937" width="10.109375" style="35" bestFit="1" customWidth="1"/>
    <col min="7938" max="7939" width="8.88671875" style="35"/>
    <col min="7940" max="7940" width="7.88671875" style="35" bestFit="1" customWidth="1"/>
    <col min="7941" max="7944" width="8.88671875" style="35"/>
    <col min="7945" max="7945" width="9.44140625" style="35" bestFit="1" customWidth="1"/>
    <col min="7946" max="7946" width="9.6640625" style="35" bestFit="1" customWidth="1"/>
    <col min="7947" max="8192" width="8.88671875" style="35"/>
    <col min="8193" max="8193" width="10.109375" style="35" bestFit="1" customWidth="1"/>
    <col min="8194" max="8195" width="8.88671875" style="35"/>
    <col min="8196" max="8196" width="7.88671875" style="35" bestFit="1" customWidth="1"/>
    <col min="8197" max="8200" width="8.88671875" style="35"/>
    <col min="8201" max="8201" width="9.44140625" style="35" bestFit="1" customWidth="1"/>
    <col min="8202" max="8202" width="9.6640625" style="35" bestFit="1" customWidth="1"/>
    <col min="8203" max="8448" width="8.88671875" style="35"/>
    <col min="8449" max="8449" width="10.109375" style="35" bestFit="1" customWidth="1"/>
    <col min="8450" max="8451" width="8.88671875" style="35"/>
    <col min="8452" max="8452" width="7.88671875" style="35" bestFit="1" customWidth="1"/>
    <col min="8453" max="8456" width="8.88671875" style="35"/>
    <col min="8457" max="8457" width="9.44140625" style="35" bestFit="1" customWidth="1"/>
    <col min="8458" max="8458" width="9.6640625" style="35" bestFit="1" customWidth="1"/>
    <col min="8459" max="8704" width="8.88671875" style="35"/>
    <col min="8705" max="8705" width="10.109375" style="35" bestFit="1" customWidth="1"/>
    <col min="8706" max="8707" width="8.88671875" style="35"/>
    <col min="8708" max="8708" width="7.88671875" style="35" bestFit="1" customWidth="1"/>
    <col min="8709" max="8712" width="8.88671875" style="35"/>
    <col min="8713" max="8713" width="9.44140625" style="35" bestFit="1" customWidth="1"/>
    <col min="8714" max="8714" width="9.6640625" style="35" bestFit="1" customWidth="1"/>
    <col min="8715" max="8960" width="8.88671875" style="35"/>
    <col min="8961" max="8961" width="10.109375" style="35" bestFit="1" customWidth="1"/>
    <col min="8962" max="8963" width="8.88671875" style="35"/>
    <col min="8964" max="8964" width="7.88671875" style="35" bestFit="1" customWidth="1"/>
    <col min="8965" max="8968" width="8.88671875" style="35"/>
    <col min="8969" max="8969" width="9.44140625" style="35" bestFit="1" customWidth="1"/>
    <col min="8970" max="8970" width="9.6640625" style="35" bestFit="1" customWidth="1"/>
    <col min="8971" max="9216" width="8.88671875" style="35"/>
    <col min="9217" max="9217" width="10.109375" style="35" bestFit="1" customWidth="1"/>
    <col min="9218" max="9219" width="8.88671875" style="35"/>
    <col min="9220" max="9220" width="7.88671875" style="35" bestFit="1" customWidth="1"/>
    <col min="9221" max="9224" width="8.88671875" style="35"/>
    <col min="9225" max="9225" width="9.44140625" style="35" bestFit="1" customWidth="1"/>
    <col min="9226" max="9226" width="9.6640625" style="35" bestFit="1" customWidth="1"/>
    <col min="9227" max="9472" width="8.88671875" style="35"/>
    <col min="9473" max="9473" width="10.109375" style="35" bestFit="1" customWidth="1"/>
    <col min="9474" max="9475" width="8.88671875" style="35"/>
    <col min="9476" max="9476" width="7.88671875" style="35" bestFit="1" customWidth="1"/>
    <col min="9477" max="9480" width="8.88671875" style="35"/>
    <col min="9481" max="9481" width="9.44140625" style="35" bestFit="1" customWidth="1"/>
    <col min="9482" max="9482" width="9.6640625" style="35" bestFit="1" customWidth="1"/>
    <col min="9483" max="9728" width="8.88671875" style="35"/>
    <col min="9729" max="9729" width="10.109375" style="35" bestFit="1" customWidth="1"/>
    <col min="9730" max="9731" width="8.88671875" style="35"/>
    <col min="9732" max="9732" width="7.88671875" style="35" bestFit="1" customWidth="1"/>
    <col min="9733" max="9736" width="8.88671875" style="35"/>
    <col min="9737" max="9737" width="9.44140625" style="35" bestFit="1" customWidth="1"/>
    <col min="9738" max="9738" width="9.6640625" style="35" bestFit="1" customWidth="1"/>
    <col min="9739" max="9984" width="8.88671875" style="35"/>
    <col min="9985" max="9985" width="10.109375" style="35" bestFit="1" customWidth="1"/>
    <col min="9986" max="9987" width="8.88671875" style="35"/>
    <col min="9988" max="9988" width="7.88671875" style="35" bestFit="1" customWidth="1"/>
    <col min="9989" max="9992" width="8.88671875" style="35"/>
    <col min="9993" max="9993" width="9.44140625" style="35" bestFit="1" customWidth="1"/>
    <col min="9994" max="9994" width="9.6640625" style="35" bestFit="1" customWidth="1"/>
    <col min="9995" max="10240" width="8.88671875" style="35"/>
    <col min="10241" max="10241" width="10.109375" style="35" bestFit="1" customWidth="1"/>
    <col min="10242" max="10243" width="8.88671875" style="35"/>
    <col min="10244" max="10244" width="7.88671875" style="35" bestFit="1" customWidth="1"/>
    <col min="10245" max="10248" width="8.88671875" style="35"/>
    <col min="10249" max="10249" width="9.44140625" style="35" bestFit="1" customWidth="1"/>
    <col min="10250" max="10250" width="9.6640625" style="35" bestFit="1" customWidth="1"/>
    <col min="10251" max="10496" width="8.88671875" style="35"/>
    <col min="10497" max="10497" width="10.109375" style="35" bestFit="1" customWidth="1"/>
    <col min="10498" max="10499" width="8.88671875" style="35"/>
    <col min="10500" max="10500" width="7.88671875" style="35" bestFit="1" customWidth="1"/>
    <col min="10501" max="10504" width="8.88671875" style="35"/>
    <col min="10505" max="10505" width="9.44140625" style="35" bestFit="1" customWidth="1"/>
    <col min="10506" max="10506" width="9.6640625" style="35" bestFit="1" customWidth="1"/>
    <col min="10507" max="10752" width="8.88671875" style="35"/>
    <col min="10753" max="10753" width="10.109375" style="35" bestFit="1" customWidth="1"/>
    <col min="10754" max="10755" width="8.88671875" style="35"/>
    <col min="10756" max="10756" width="7.88671875" style="35" bestFit="1" customWidth="1"/>
    <col min="10757" max="10760" width="8.88671875" style="35"/>
    <col min="10761" max="10761" width="9.44140625" style="35" bestFit="1" customWidth="1"/>
    <col min="10762" max="10762" width="9.6640625" style="35" bestFit="1" customWidth="1"/>
    <col min="10763" max="11008" width="8.88671875" style="35"/>
    <col min="11009" max="11009" width="10.109375" style="35" bestFit="1" customWidth="1"/>
    <col min="11010" max="11011" width="8.88671875" style="35"/>
    <col min="11012" max="11012" width="7.88671875" style="35" bestFit="1" customWidth="1"/>
    <col min="11013" max="11016" width="8.88671875" style="35"/>
    <col min="11017" max="11017" width="9.44140625" style="35" bestFit="1" customWidth="1"/>
    <col min="11018" max="11018" width="9.6640625" style="35" bestFit="1" customWidth="1"/>
    <col min="11019" max="11264" width="8.88671875" style="35"/>
    <col min="11265" max="11265" width="10.109375" style="35" bestFit="1" customWidth="1"/>
    <col min="11266" max="11267" width="8.88671875" style="35"/>
    <col min="11268" max="11268" width="7.88671875" style="35" bestFit="1" customWidth="1"/>
    <col min="11269" max="11272" width="8.88671875" style="35"/>
    <col min="11273" max="11273" width="9.44140625" style="35" bestFit="1" customWidth="1"/>
    <col min="11274" max="11274" width="9.6640625" style="35" bestFit="1" customWidth="1"/>
    <col min="11275" max="11520" width="8.88671875" style="35"/>
    <col min="11521" max="11521" width="10.109375" style="35" bestFit="1" customWidth="1"/>
    <col min="11522" max="11523" width="8.88671875" style="35"/>
    <col min="11524" max="11524" width="7.88671875" style="35" bestFit="1" customWidth="1"/>
    <col min="11525" max="11528" width="8.88671875" style="35"/>
    <col min="11529" max="11529" width="9.44140625" style="35" bestFit="1" customWidth="1"/>
    <col min="11530" max="11530" width="9.6640625" style="35" bestFit="1" customWidth="1"/>
    <col min="11531" max="11776" width="8.88671875" style="35"/>
    <col min="11777" max="11777" width="10.109375" style="35" bestFit="1" customWidth="1"/>
    <col min="11778" max="11779" width="8.88671875" style="35"/>
    <col min="11780" max="11780" width="7.88671875" style="35" bestFit="1" customWidth="1"/>
    <col min="11781" max="11784" width="8.88671875" style="35"/>
    <col min="11785" max="11785" width="9.44140625" style="35" bestFit="1" customWidth="1"/>
    <col min="11786" max="11786" width="9.6640625" style="35" bestFit="1" customWidth="1"/>
    <col min="11787" max="12032" width="8.88671875" style="35"/>
    <col min="12033" max="12033" width="10.109375" style="35" bestFit="1" customWidth="1"/>
    <col min="12034" max="12035" width="8.88671875" style="35"/>
    <col min="12036" max="12036" width="7.88671875" style="35" bestFit="1" customWidth="1"/>
    <col min="12037" max="12040" width="8.88671875" style="35"/>
    <col min="12041" max="12041" width="9.44140625" style="35" bestFit="1" customWidth="1"/>
    <col min="12042" max="12042" width="9.6640625" style="35" bestFit="1" customWidth="1"/>
    <col min="12043" max="12288" width="8.88671875" style="35"/>
    <col min="12289" max="12289" width="10.109375" style="35" bestFit="1" customWidth="1"/>
    <col min="12290" max="12291" width="8.88671875" style="35"/>
    <col min="12292" max="12292" width="7.88671875" style="35" bestFit="1" customWidth="1"/>
    <col min="12293" max="12296" width="8.88671875" style="35"/>
    <col min="12297" max="12297" width="9.44140625" style="35" bestFit="1" customWidth="1"/>
    <col min="12298" max="12298" width="9.6640625" style="35" bestFit="1" customWidth="1"/>
    <col min="12299" max="12544" width="8.88671875" style="35"/>
    <col min="12545" max="12545" width="10.109375" style="35" bestFit="1" customWidth="1"/>
    <col min="12546" max="12547" width="8.88671875" style="35"/>
    <col min="12548" max="12548" width="7.88671875" style="35" bestFit="1" customWidth="1"/>
    <col min="12549" max="12552" width="8.88671875" style="35"/>
    <col min="12553" max="12553" width="9.44140625" style="35" bestFit="1" customWidth="1"/>
    <col min="12554" max="12554" width="9.6640625" style="35" bestFit="1" customWidth="1"/>
    <col min="12555" max="12800" width="8.88671875" style="35"/>
    <col min="12801" max="12801" width="10.109375" style="35" bestFit="1" customWidth="1"/>
    <col min="12802" max="12803" width="8.88671875" style="35"/>
    <col min="12804" max="12804" width="7.88671875" style="35" bestFit="1" customWidth="1"/>
    <col min="12805" max="12808" width="8.88671875" style="35"/>
    <col min="12809" max="12809" width="9.44140625" style="35" bestFit="1" customWidth="1"/>
    <col min="12810" max="12810" width="9.6640625" style="35" bestFit="1" customWidth="1"/>
    <col min="12811" max="13056" width="8.88671875" style="35"/>
    <col min="13057" max="13057" width="10.109375" style="35" bestFit="1" customWidth="1"/>
    <col min="13058" max="13059" width="8.88671875" style="35"/>
    <col min="13060" max="13060" width="7.88671875" style="35" bestFit="1" customWidth="1"/>
    <col min="13061" max="13064" width="8.88671875" style="35"/>
    <col min="13065" max="13065" width="9.44140625" style="35" bestFit="1" customWidth="1"/>
    <col min="13066" max="13066" width="9.6640625" style="35" bestFit="1" customWidth="1"/>
    <col min="13067" max="13312" width="8.88671875" style="35"/>
    <col min="13313" max="13313" width="10.109375" style="35" bestFit="1" customWidth="1"/>
    <col min="13314" max="13315" width="8.88671875" style="35"/>
    <col min="13316" max="13316" width="7.88671875" style="35" bestFit="1" customWidth="1"/>
    <col min="13317" max="13320" width="8.88671875" style="35"/>
    <col min="13321" max="13321" width="9.44140625" style="35" bestFit="1" customWidth="1"/>
    <col min="13322" max="13322" width="9.6640625" style="35" bestFit="1" customWidth="1"/>
    <col min="13323" max="13568" width="8.88671875" style="35"/>
    <col min="13569" max="13569" width="10.109375" style="35" bestFit="1" customWidth="1"/>
    <col min="13570" max="13571" width="8.88671875" style="35"/>
    <col min="13572" max="13572" width="7.88671875" style="35" bestFit="1" customWidth="1"/>
    <col min="13573" max="13576" width="8.88671875" style="35"/>
    <col min="13577" max="13577" width="9.44140625" style="35" bestFit="1" customWidth="1"/>
    <col min="13578" max="13578" width="9.6640625" style="35" bestFit="1" customWidth="1"/>
    <col min="13579" max="13824" width="8.88671875" style="35"/>
    <col min="13825" max="13825" width="10.109375" style="35" bestFit="1" customWidth="1"/>
    <col min="13826" max="13827" width="8.88671875" style="35"/>
    <col min="13828" max="13828" width="7.88671875" style="35" bestFit="1" customWidth="1"/>
    <col min="13829" max="13832" width="8.88671875" style="35"/>
    <col min="13833" max="13833" width="9.44140625" style="35" bestFit="1" customWidth="1"/>
    <col min="13834" max="13834" width="9.6640625" style="35" bestFit="1" customWidth="1"/>
    <col min="13835" max="14080" width="8.88671875" style="35"/>
    <col min="14081" max="14081" width="10.109375" style="35" bestFit="1" customWidth="1"/>
    <col min="14082" max="14083" width="8.88671875" style="35"/>
    <col min="14084" max="14084" width="7.88671875" style="35" bestFit="1" customWidth="1"/>
    <col min="14085" max="14088" width="8.88671875" style="35"/>
    <col min="14089" max="14089" width="9.44140625" style="35" bestFit="1" customWidth="1"/>
    <col min="14090" max="14090" width="9.6640625" style="35" bestFit="1" customWidth="1"/>
    <col min="14091" max="14336" width="8.88671875" style="35"/>
    <col min="14337" max="14337" width="10.109375" style="35" bestFit="1" customWidth="1"/>
    <col min="14338" max="14339" width="8.88671875" style="35"/>
    <col min="14340" max="14340" width="7.88671875" style="35" bestFit="1" customWidth="1"/>
    <col min="14341" max="14344" width="8.88671875" style="35"/>
    <col min="14345" max="14345" width="9.44140625" style="35" bestFit="1" customWidth="1"/>
    <col min="14346" max="14346" width="9.6640625" style="35" bestFit="1" customWidth="1"/>
    <col min="14347" max="14592" width="8.88671875" style="35"/>
    <col min="14593" max="14593" width="10.109375" style="35" bestFit="1" customWidth="1"/>
    <col min="14594" max="14595" width="8.88671875" style="35"/>
    <col min="14596" max="14596" width="7.88671875" style="35" bestFit="1" customWidth="1"/>
    <col min="14597" max="14600" width="8.88671875" style="35"/>
    <col min="14601" max="14601" width="9.44140625" style="35" bestFit="1" customWidth="1"/>
    <col min="14602" max="14602" width="9.6640625" style="35" bestFit="1" customWidth="1"/>
    <col min="14603" max="14848" width="8.88671875" style="35"/>
    <col min="14849" max="14849" width="10.109375" style="35" bestFit="1" customWidth="1"/>
    <col min="14850" max="14851" width="8.88671875" style="35"/>
    <col min="14852" max="14852" width="7.88671875" style="35" bestFit="1" customWidth="1"/>
    <col min="14853" max="14856" width="8.88671875" style="35"/>
    <col min="14857" max="14857" width="9.44140625" style="35" bestFit="1" customWidth="1"/>
    <col min="14858" max="14858" width="9.6640625" style="35" bestFit="1" customWidth="1"/>
    <col min="14859" max="15104" width="8.88671875" style="35"/>
    <col min="15105" max="15105" width="10.109375" style="35" bestFit="1" customWidth="1"/>
    <col min="15106" max="15107" width="8.88671875" style="35"/>
    <col min="15108" max="15108" width="7.88671875" style="35" bestFit="1" customWidth="1"/>
    <col min="15109" max="15112" width="8.88671875" style="35"/>
    <col min="15113" max="15113" width="9.44140625" style="35" bestFit="1" customWidth="1"/>
    <col min="15114" max="15114" width="9.6640625" style="35" bestFit="1" customWidth="1"/>
    <col min="15115" max="15360" width="8.88671875" style="35"/>
    <col min="15361" max="15361" width="10.109375" style="35" bestFit="1" customWidth="1"/>
    <col min="15362" max="15363" width="8.88671875" style="35"/>
    <col min="15364" max="15364" width="7.88671875" style="35" bestFit="1" customWidth="1"/>
    <col min="15365" max="15368" width="8.88671875" style="35"/>
    <col min="15369" max="15369" width="9.44140625" style="35" bestFit="1" customWidth="1"/>
    <col min="15370" max="15370" width="9.6640625" style="35" bestFit="1" customWidth="1"/>
    <col min="15371" max="15616" width="8.88671875" style="35"/>
    <col min="15617" max="15617" width="10.109375" style="35" bestFit="1" customWidth="1"/>
    <col min="15618" max="15619" width="8.88671875" style="35"/>
    <col min="15620" max="15620" width="7.88671875" style="35" bestFit="1" customWidth="1"/>
    <col min="15621" max="15624" width="8.88671875" style="35"/>
    <col min="15625" max="15625" width="9.44140625" style="35" bestFit="1" customWidth="1"/>
    <col min="15626" max="15626" width="9.6640625" style="35" bestFit="1" customWidth="1"/>
    <col min="15627" max="15872" width="8.88671875" style="35"/>
    <col min="15873" max="15873" width="10.109375" style="35" bestFit="1" customWidth="1"/>
    <col min="15874" max="15875" width="8.88671875" style="35"/>
    <col min="15876" max="15876" width="7.88671875" style="35" bestFit="1" customWidth="1"/>
    <col min="15877" max="15880" width="8.88671875" style="35"/>
    <col min="15881" max="15881" width="9.44140625" style="35" bestFit="1" customWidth="1"/>
    <col min="15882" max="15882" width="9.6640625" style="35" bestFit="1" customWidth="1"/>
    <col min="15883" max="16128" width="8.88671875" style="35"/>
    <col min="16129" max="16129" width="10.109375" style="35" bestFit="1" customWidth="1"/>
    <col min="16130" max="16131" width="8.88671875" style="35"/>
    <col min="16132" max="16132" width="7.88671875" style="35" bestFit="1" customWidth="1"/>
    <col min="16133" max="16136" width="8.88671875" style="35"/>
    <col min="16137" max="16137" width="9.44140625" style="35" bestFit="1" customWidth="1"/>
    <col min="16138" max="16138" width="9.6640625" style="35" bestFit="1" customWidth="1"/>
    <col min="16139" max="16384" width="8.88671875" style="35"/>
  </cols>
  <sheetData>
    <row r="1" spans="1:12" x14ac:dyDescent="0.25">
      <c r="A1" s="56" t="s">
        <v>525</v>
      </c>
      <c r="B1" s="56" t="s">
        <v>526</v>
      </c>
      <c r="C1" s="56" t="s">
        <v>527</v>
      </c>
      <c r="G1" s="43" t="s">
        <v>528</v>
      </c>
    </row>
    <row r="2" spans="1:12" x14ac:dyDescent="0.25">
      <c r="A2" s="57" t="s">
        <v>529</v>
      </c>
      <c r="B2" s="57" t="s">
        <v>530</v>
      </c>
      <c r="C2" s="57" t="s">
        <v>531</v>
      </c>
      <c r="D2" s="35" t="s">
        <v>469</v>
      </c>
    </row>
    <row r="3" spans="1:12" x14ac:dyDescent="0.25">
      <c r="A3" s="58">
        <v>43436</v>
      </c>
      <c r="B3" s="57">
        <v>1</v>
      </c>
      <c r="C3" s="57">
        <v>1</v>
      </c>
      <c r="D3" s="59">
        <f t="shared" ref="D3:D66" si="0">A3-$I$3</f>
        <v>519</v>
      </c>
      <c r="E3" s="60">
        <f t="shared" ref="E3:E66" si="1">C3/MAX(C:C)</f>
        <v>1E-3</v>
      </c>
      <c r="H3" s="61" t="s">
        <v>532</v>
      </c>
      <c r="I3" s="62">
        <v>42917</v>
      </c>
      <c r="L3" s="75"/>
    </row>
    <row r="4" spans="1:12" x14ac:dyDescent="0.25">
      <c r="A4" s="58">
        <v>43442</v>
      </c>
      <c r="B4" s="57">
        <v>1</v>
      </c>
      <c r="C4" s="57">
        <v>2</v>
      </c>
      <c r="D4" s="59">
        <f t="shared" si="0"/>
        <v>525</v>
      </c>
      <c r="E4" s="60">
        <f t="shared" si="1"/>
        <v>2E-3</v>
      </c>
      <c r="H4" s="61" t="s">
        <v>533</v>
      </c>
      <c r="I4" s="62">
        <v>43449</v>
      </c>
      <c r="L4" s="75"/>
    </row>
    <row r="5" spans="1:12" x14ac:dyDescent="0.25">
      <c r="A5" s="58">
        <v>43442</v>
      </c>
      <c r="B5" s="57">
        <v>1</v>
      </c>
      <c r="C5" s="57">
        <v>3</v>
      </c>
      <c r="D5" s="59">
        <f t="shared" si="0"/>
        <v>525</v>
      </c>
      <c r="E5" s="60">
        <f t="shared" si="1"/>
        <v>3.0000000000000001E-3</v>
      </c>
      <c r="H5" s="61"/>
      <c r="L5" s="75"/>
    </row>
    <row r="6" spans="1:12" x14ac:dyDescent="0.25">
      <c r="A6" s="58">
        <v>43448</v>
      </c>
      <c r="B6" s="57">
        <v>1</v>
      </c>
      <c r="C6" s="57">
        <v>4</v>
      </c>
      <c r="D6" s="59">
        <f t="shared" si="0"/>
        <v>531</v>
      </c>
      <c r="E6" s="60">
        <f t="shared" si="1"/>
        <v>4.0000000000000001E-3</v>
      </c>
      <c r="H6" s="61" t="s">
        <v>534</v>
      </c>
      <c r="I6" s="63">
        <f>I4-I3</f>
        <v>532</v>
      </c>
      <c r="L6" s="75"/>
    </row>
    <row r="7" spans="1:12" x14ac:dyDescent="0.25">
      <c r="A7" s="58">
        <v>43454</v>
      </c>
      <c r="B7" s="57">
        <v>1</v>
      </c>
      <c r="C7" s="57">
        <v>5</v>
      </c>
      <c r="D7" s="59">
        <f t="shared" si="0"/>
        <v>537</v>
      </c>
      <c r="E7" s="60">
        <f t="shared" si="1"/>
        <v>5.0000000000000001E-3</v>
      </c>
      <c r="H7" s="61"/>
      <c r="L7" s="75"/>
    </row>
    <row r="8" spans="1:12" x14ac:dyDescent="0.25">
      <c r="A8" s="58">
        <v>43454</v>
      </c>
      <c r="B8" s="57">
        <v>1</v>
      </c>
      <c r="C8" s="57">
        <v>6</v>
      </c>
      <c r="D8" s="59">
        <f t="shared" si="0"/>
        <v>537</v>
      </c>
      <c r="E8" s="60">
        <f t="shared" si="1"/>
        <v>6.0000000000000001E-3</v>
      </c>
      <c r="H8" s="76" t="s">
        <v>537</v>
      </c>
      <c r="I8" s="64">
        <f ca="1">_xll.RiskOutput(H8) + _xll.RiskCumul(MIN(D:D), MAX(D:D), OFFSET(D3,0,0,COUNT(D:D)-2,1), OFFSET(E3,0,0,COUNT(E:E)-2,1), _xll.RiskName("Schedule driver - "&amp;H8))</f>
        <v>608.72089976190512</v>
      </c>
      <c r="L8" s="75"/>
    </row>
    <row r="9" spans="1:12" x14ac:dyDescent="0.25">
      <c r="A9" s="58">
        <v>43454</v>
      </c>
      <c r="B9" s="57">
        <v>1</v>
      </c>
      <c r="C9" s="57">
        <v>7</v>
      </c>
      <c r="D9" s="59">
        <f t="shared" si="0"/>
        <v>537</v>
      </c>
      <c r="E9" s="60">
        <f t="shared" si="1"/>
        <v>7.0000000000000001E-3</v>
      </c>
      <c r="G9" s="65"/>
      <c r="L9" s="75"/>
    </row>
    <row r="10" spans="1:12" x14ac:dyDescent="0.25">
      <c r="A10" s="58">
        <v>43454</v>
      </c>
      <c r="B10" s="57">
        <v>1</v>
      </c>
      <c r="C10" s="57">
        <v>8</v>
      </c>
      <c r="D10" s="59">
        <f t="shared" si="0"/>
        <v>537</v>
      </c>
      <c r="E10" s="60">
        <f t="shared" si="1"/>
        <v>8.0000000000000002E-3</v>
      </c>
      <c r="H10" s="66" t="s">
        <v>502</v>
      </c>
      <c r="I10" s="67">
        <f ca="1">_xll.RiskPercentile(I8,0.1)</f>
        <v>608.72089976190512</v>
      </c>
      <c r="J10" s="68">
        <f ca="1">$I$4+I10-$I$6</f>
        <v>43525.720899761902</v>
      </c>
      <c r="L10" s="75"/>
    </row>
    <row r="11" spans="1:12" x14ac:dyDescent="0.25">
      <c r="A11" s="58">
        <v>43456</v>
      </c>
      <c r="B11" s="57">
        <v>1</v>
      </c>
      <c r="C11" s="57">
        <v>9</v>
      </c>
      <c r="D11" s="59">
        <f t="shared" si="0"/>
        <v>539</v>
      </c>
      <c r="E11" s="60">
        <f t="shared" si="1"/>
        <v>8.9999999999999993E-3</v>
      </c>
      <c r="H11" s="69" t="s">
        <v>497</v>
      </c>
      <c r="I11" s="67">
        <f ca="1">_xll.RiskMean(I8)</f>
        <v>608.72089976190512</v>
      </c>
      <c r="J11" s="68">
        <f ca="1">$I$4+I11-$I$6</f>
        <v>43525.720899761902</v>
      </c>
      <c r="L11" s="75"/>
    </row>
    <row r="12" spans="1:12" x14ac:dyDescent="0.25">
      <c r="A12" s="58">
        <v>43460</v>
      </c>
      <c r="B12" s="57">
        <v>1</v>
      </c>
      <c r="C12" s="57">
        <v>10</v>
      </c>
      <c r="D12" s="59">
        <f t="shared" si="0"/>
        <v>543</v>
      </c>
      <c r="E12" s="60">
        <f t="shared" si="1"/>
        <v>0.01</v>
      </c>
      <c r="H12" s="69" t="s">
        <v>535</v>
      </c>
      <c r="I12" s="67">
        <f ca="1">_xll.RiskPercentile(I8,0.5)</f>
        <v>608.72089976190512</v>
      </c>
      <c r="J12" s="68">
        <f ca="1">$I$4+I12-$I$6</f>
        <v>43525.720899761902</v>
      </c>
      <c r="L12" s="75"/>
    </row>
    <row r="13" spans="1:12" x14ac:dyDescent="0.25">
      <c r="A13" s="58">
        <v>43460</v>
      </c>
      <c r="B13" s="57">
        <v>1</v>
      </c>
      <c r="C13" s="57">
        <v>11</v>
      </c>
      <c r="D13" s="59">
        <f t="shared" si="0"/>
        <v>543</v>
      </c>
      <c r="E13" s="60">
        <f t="shared" si="1"/>
        <v>1.0999999999999999E-2</v>
      </c>
      <c r="H13" s="69" t="s">
        <v>503</v>
      </c>
      <c r="I13" s="67">
        <f ca="1">_xll.RiskPercentile(I8,0.9)</f>
        <v>608.72089976190512</v>
      </c>
      <c r="J13" s="68">
        <f ca="1">$I$4+I13-$I$6</f>
        <v>43525.720899761902</v>
      </c>
      <c r="L13" s="75"/>
    </row>
    <row r="14" spans="1:12" x14ac:dyDescent="0.25">
      <c r="A14" s="58">
        <v>43460</v>
      </c>
      <c r="B14" s="57">
        <v>1</v>
      </c>
      <c r="C14" s="57">
        <v>12</v>
      </c>
      <c r="D14" s="59">
        <f t="shared" si="0"/>
        <v>543</v>
      </c>
      <c r="E14" s="60">
        <f t="shared" si="1"/>
        <v>1.2E-2</v>
      </c>
      <c r="I14" s="59"/>
      <c r="L14" s="75"/>
    </row>
    <row r="15" spans="1:12" x14ac:dyDescent="0.25">
      <c r="A15" s="58">
        <v>43460</v>
      </c>
      <c r="B15" s="57">
        <v>1</v>
      </c>
      <c r="C15" s="57">
        <v>13</v>
      </c>
      <c r="D15" s="59">
        <f t="shared" si="0"/>
        <v>543</v>
      </c>
      <c r="E15" s="60">
        <f t="shared" si="1"/>
        <v>1.2999999999999999E-2</v>
      </c>
      <c r="H15" s="70" t="s">
        <v>536</v>
      </c>
      <c r="I15" s="71">
        <f ca="1">_xll.RiskOutput("Schedule Variation")+1+(I8-I6)/I6</f>
        <v>1.144212217597566</v>
      </c>
      <c r="L15" s="75"/>
    </row>
    <row r="16" spans="1:12" x14ac:dyDescent="0.25">
      <c r="A16" s="58">
        <v>43462</v>
      </c>
      <c r="B16" s="57">
        <v>1</v>
      </c>
      <c r="C16" s="57">
        <v>14</v>
      </c>
      <c r="D16" s="59">
        <f t="shared" si="0"/>
        <v>545</v>
      </c>
      <c r="E16" s="60">
        <f t="shared" si="1"/>
        <v>1.4E-2</v>
      </c>
      <c r="L16" s="75"/>
    </row>
    <row r="17" spans="1:12" x14ac:dyDescent="0.25">
      <c r="A17" s="58">
        <v>43462</v>
      </c>
      <c r="B17" s="57">
        <v>2</v>
      </c>
      <c r="C17" s="57">
        <v>16</v>
      </c>
      <c r="D17" s="59">
        <f t="shared" si="0"/>
        <v>545</v>
      </c>
      <c r="E17" s="60">
        <f t="shared" si="1"/>
        <v>1.6E-2</v>
      </c>
      <c r="H17" s="66" t="s">
        <v>502</v>
      </c>
      <c r="I17" s="72">
        <f ca="1">_xll.RiskPercentile(I15,0.1)</f>
        <v>1.144212217597566</v>
      </c>
      <c r="L17" s="75"/>
    </row>
    <row r="18" spans="1:12" x14ac:dyDescent="0.25">
      <c r="A18" s="58">
        <v>43462</v>
      </c>
      <c r="B18" s="57">
        <v>1</v>
      </c>
      <c r="C18" s="57">
        <v>17</v>
      </c>
      <c r="D18" s="59">
        <f t="shared" si="0"/>
        <v>545</v>
      </c>
      <c r="E18" s="60">
        <f t="shared" si="1"/>
        <v>1.7000000000000001E-2</v>
      </c>
      <c r="H18" s="69" t="s">
        <v>497</v>
      </c>
      <c r="I18" s="72">
        <f ca="1">_xll.RiskMean(I15)</f>
        <v>1.144212217597566</v>
      </c>
      <c r="L18" s="75"/>
    </row>
    <row r="19" spans="1:12" x14ac:dyDescent="0.25">
      <c r="A19" s="58">
        <v>43462</v>
      </c>
      <c r="B19" s="57">
        <v>1</v>
      </c>
      <c r="C19" s="57">
        <v>18</v>
      </c>
      <c r="D19" s="59">
        <f t="shared" si="0"/>
        <v>545</v>
      </c>
      <c r="E19" s="60">
        <f t="shared" si="1"/>
        <v>1.7999999999999999E-2</v>
      </c>
      <c r="H19" s="69" t="s">
        <v>535</v>
      </c>
      <c r="I19" s="72">
        <f ca="1">_xll.RiskPercentile(I15,0.5)</f>
        <v>1.144212217597566</v>
      </c>
      <c r="L19" s="75"/>
    </row>
    <row r="20" spans="1:12" x14ac:dyDescent="0.25">
      <c r="A20" s="58">
        <v>43462</v>
      </c>
      <c r="B20" s="57">
        <v>1</v>
      </c>
      <c r="C20" s="57">
        <v>19</v>
      </c>
      <c r="D20" s="59">
        <f t="shared" si="0"/>
        <v>545</v>
      </c>
      <c r="E20" s="60">
        <f t="shared" si="1"/>
        <v>1.9E-2</v>
      </c>
      <c r="H20" s="69" t="s">
        <v>503</v>
      </c>
      <c r="I20" s="72">
        <f ca="1">_xll.RiskPercentile(I15,0.9)</f>
        <v>1.144212217597566</v>
      </c>
      <c r="L20" s="75"/>
    </row>
    <row r="21" spans="1:12" x14ac:dyDescent="0.25">
      <c r="A21" s="58">
        <v>43464</v>
      </c>
      <c r="B21" s="57">
        <v>1</v>
      </c>
      <c r="C21" s="57">
        <v>20</v>
      </c>
      <c r="D21" s="59">
        <f t="shared" si="0"/>
        <v>547</v>
      </c>
      <c r="E21" s="60">
        <f t="shared" si="1"/>
        <v>0.02</v>
      </c>
      <c r="L21" s="75"/>
    </row>
    <row r="22" spans="1:12" x14ac:dyDescent="0.25">
      <c r="A22" s="58">
        <v>43464</v>
      </c>
      <c r="B22" s="57">
        <v>2</v>
      </c>
      <c r="C22" s="57">
        <v>22</v>
      </c>
      <c r="D22" s="59">
        <f t="shared" si="0"/>
        <v>547</v>
      </c>
      <c r="E22" s="60">
        <f t="shared" si="1"/>
        <v>2.1999999999999999E-2</v>
      </c>
      <c r="L22" s="75"/>
    </row>
    <row r="23" spans="1:12" x14ac:dyDescent="0.25">
      <c r="A23" s="58">
        <v>43464</v>
      </c>
      <c r="B23" s="57">
        <v>2</v>
      </c>
      <c r="C23" s="57">
        <v>24</v>
      </c>
      <c r="D23" s="59">
        <f t="shared" si="0"/>
        <v>547</v>
      </c>
      <c r="E23" s="60">
        <f t="shared" si="1"/>
        <v>2.4E-2</v>
      </c>
      <c r="L23" s="75"/>
    </row>
    <row r="24" spans="1:12" x14ac:dyDescent="0.25">
      <c r="A24" s="58">
        <v>43466</v>
      </c>
      <c r="B24" s="57">
        <v>1</v>
      </c>
      <c r="C24" s="57">
        <v>25</v>
      </c>
      <c r="D24" s="59">
        <f t="shared" si="0"/>
        <v>549</v>
      </c>
      <c r="E24" s="60">
        <f t="shared" si="1"/>
        <v>2.5000000000000001E-2</v>
      </c>
      <c r="L24" s="75"/>
    </row>
    <row r="25" spans="1:12" x14ac:dyDescent="0.25">
      <c r="A25" s="58">
        <v>43466</v>
      </c>
      <c r="B25" s="57">
        <v>1</v>
      </c>
      <c r="C25" s="57">
        <v>26</v>
      </c>
      <c r="D25" s="59">
        <f t="shared" si="0"/>
        <v>549</v>
      </c>
      <c r="E25" s="60">
        <f t="shared" si="1"/>
        <v>2.5999999999999999E-2</v>
      </c>
      <c r="L25" s="75"/>
    </row>
    <row r="26" spans="1:12" x14ac:dyDescent="0.25">
      <c r="A26" s="58">
        <v>43468</v>
      </c>
      <c r="B26" s="57">
        <v>1</v>
      </c>
      <c r="C26" s="57">
        <v>27</v>
      </c>
      <c r="D26" s="59">
        <f t="shared" si="0"/>
        <v>551</v>
      </c>
      <c r="E26" s="60">
        <f t="shared" si="1"/>
        <v>2.7E-2</v>
      </c>
      <c r="L26" s="75"/>
    </row>
    <row r="27" spans="1:12" x14ac:dyDescent="0.25">
      <c r="A27" s="58">
        <v>43468</v>
      </c>
      <c r="B27" s="57">
        <v>1</v>
      </c>
      <c r="C27" s="57">
        <v>28</v>
      </c>
      <c r="D27" s="59">
        <f t="shared" si="0"/>
        <v>551</v>
      </c>
      <c r="E27" s="60">
        <f t="shared" si="1"/>
        <v>2.8000000000000001E-2</v>
      </c>
      <c r="L27" s="75"/>
    </row>
    <row r="28" spans="1:12" x14ac:dyDescent="0.25">
      <c r="A28" s="58">
        <v>43470</v>
      </c>
      <c r="B28" s="57">
        <v>1</v>
      </c>
      <c r="C28" s="57">
        <v>29</v>
      </c>
      <c r="D28" s="59">
        <f t="shared" si="0"/>
        <v>553</v>
      </c>
      <c r="E28" s="60">
        <f t="shared" si="1"/>
        <v>2.9000000000000001E-2</v>
      </c>
      <c r="L28" s="75"/>
    </row>
    <row r="29" spans="1:12" x14ac:dyDescent="0.25">
      <c r="A29" s="58">
        <v>43470</v>
      </c>
      <c r="B29" s="57">
        <v>1</v>
      </c>
      <c r="C29" s="57">
        <v>30</v>
      </c>
      <c r="D29" s="59">
        <f t="shared" si="0"/>
        <v>553</v>
      </c>
      <c r="E29" s="60">
        <f t="shared" si="1"/>
        <v>0.03</v>
      </c>
      <c r="L29" s="75"/>
    </row>
    <row r="30" spans="1:12" x14ac:dyDescent="0.25">
      <c r="A30" s="58">
        <v>43470</v>
      </c>
      <c r="B30" s="57">
        <v>1</v>
      </c>
      <c r="C30" s="57">
        <v>31</v>
      </c>
      <c r="D30" s="59">
        <f t="shared" si="0"/>
        <v>553</v>
      </c>
      <c r="E30" s="60">
        <f t="shared" si="1"/>
        <v>3.1E-2</v>
      </c>
      <c r="L30" s="75"/>
    </row>
    <row r="31" spans="1:12" x14ac:dyDescent="0.25">
      <c r="A31" s="58">
        <v>43470</v>
      </c>
      <c r="B31" s="57">
        <v>1</v>
      </c>
      <c r="C31" s="57">
        <v>32</v>
      </c>
      <c r="D31" s="59">
        <f t="shared" si="0"/>
        <v>553</v>
      </c>
      <c r="E31" s="60">
        <f t="shared" si="1"/>
        <v>3.2000000000000001E-2</v>
      </c>
      <c r="L31" s="75"/>
    </row>
    <row r="32" spans="1:12" x14ac:dyDescent="0.25">
      <c r="A32" s="58">
        <v>43470</v>
      </c>
      <c r="B32" s="57">
        <v>2</v>
      </c>
      <c r="C32" s="57">
        <v>34</v>
      </c>
      <c r="D32" s="59">
        <f t="shared" si="0"/>
        <v>553</v>
      </c>
      <c r="E32" s="60">
        <f t="shared" si="1"/>
        <v>3.4000000000000002E-2</v>
      </c>
      <c r="L32" s="75"/>
    </row>
    <row r="33" spans="1:12" x14ac:dyDescent="0.25">
      <c r="A33" s="58">
        <v>43472</v>
      </c>
      <c r="B33" s="57">
        <v>2</v>
      </c>
      <c r="C33" s="57">
        <v>36</v>
      </c>
      <c r="D33" s="59">
        <f t="shared" si="0"/>
        <v>555</v>
      </c>
      <c r="E33" s="60">
        <f t="shared" si="1"/>
        <v>3.5999999999999997E-2</v>
      </c>
      <c r="L33" s="75"/>
    </row>
    <row r="34" spans="1:12" x14ac:dyDescent="0.25">
      <c r="A34" s="58">
        <v>43472</v>
      </c>
      <c r="B34" s="57">
        <v>1</v>
      </c>
      <c r="C34" s="57">
        <v>37</v>
      </c>
      <c r="D34" s="59">
        <f t="shared" si="0"/>
        <v>555</v>
      </c>
      <c r="E34" s="60">
        <f t="shared" si="1"/>
        <v>3.6999999999999998E-2</v>
      </c>
      <c r="L34" s="75"/>
    </row>
    <row r="35" spans="1:12" x14ac:dyDescent="0.25">
      <c r="A35" s="58">
        <v>43472</v>
      </c>
      <c r="B35" s="57">
        <v>1</v>
      </c>
      <c r="C35" s="57">
        <v>38</v>
      </c>
      <c r="D35" s="59">
        <f t="shared" si="0"/>
        <v>555</v>
      </c>
      <c r="E35" s="60">
        <f t="shared" si="1"/>
        <v>3.7999999999999999E-2</v>
      </c>
      <c r="L35" s="75"/>
    </row>
    <row r="36" spans="1:12" x14ac:dyDescent="0.25">
      <c r="A36" s="58">
        <v>43472</v>
      </c>
      <c r="B36" s="57">
        <v>1</v>
      </c>
      <c r="C36" s="57">
        <v>39</v>
      </c>
      <c r="D36" s="59">
        <f t="shared" si="0"/>
        <v>555</v>
      </c>
      <c r="E36" s="60">
        <f t="shared" si="1"/>
        <v>3.9E-2</v>
      </c>
      <c r="L36" s="75"/>
    </row>
    <row r="37" spans="1:12" x14ac:dyDescent="0.25">
      <c r="A37" s="58">
        <v>43474</v>
      </c>
      <c r="B37" s="57">
        <v>1</v>
      </c>
      <c r="C37" s="57">
        <v>40</v>
      </c>
      <c r="D37" s="59">
        <f t="shared" si="0"/>
        <v>557</v>
      </c>
      <c r="E37" s="60">
        <f t="shared" si="1"/>
        <v>0.04</v>
      </c>
      <c r="L37" s="75"/>
    </row>
    <row r="38" spans="1:12" x14ac:dyDescent="0.25">
      <c r="A38" s="58">
        <v>43474</v>
      </c>
      <c r="B38" s="57">
        <v>1</v>
      </c>
      <c r="C38" s="57">
        <v>41</v>
      </c>
      <c r="D38" s="59">
        <f t="shared" si="0"/>
        <v>557</v>
      </c>
      <c r="E38" s="60">
        <f t="shared" si="1"/>
        <v>4.1000000000000002E-2</v>
      </c>
      <c r="L38" s="75"/>
    </row>
    <row r="39" spans="1:12" x14ac:dyDescent="0.25">
      <c r="A39" s="58">
        <v>43474</v>
      </c>
      <c r="B39" s="57">
        <v>2</v>
      </c>
      <c r="C39" s="57">
        <v>43</v>
      </c>
      <c r="D39" s="59">
        <f t="shared" si="0"/>
        <v>557</v>
      </c>
      <c r="E39" s="60">
        <f t="shared" si="1"/>
        <v>4.2999999999999997E-2</v>
      </c>
      <c r="L39" s="75"/>
    </row>
    <row r="40" spans="1:12" x14ac:dyDescent="0.25">
      <c r="A40" s="58">
        <v>43474</v>
      </c>
      <c r="B40" s="57">
        <v>1</v>
      </c>
      <c r="C40" s="57">
        <v>44</v>
      </c>
      <c r="D40" s="59">
        <f t="shared" si="0"/>
        <v>557</v>
      </c>
      <c r="E40" s="60">
        <f t="shared" si="1"/>
        <v>4.3999999999999997E-2</v>
      </c>
      <c r="L40" s="75"/>
    </row>
    <row r="41" spans="1:12" x14ac:dyDescent="0.25">
      <c r="A41" s="58">
        <v>43476</v>
      </c>
      <c r="B41" s="57">
        <v>2</v>
      </c>
      <c r="C41" s="57">
        <v>46</v>
      </c>
      <c r="D41" s="59">
        <f t="shared" si="0"/>
        <v>559</v>
      </c>
      <c r="E41" s="60">
        <f t="shared" si="1"/>
        <v>4.5999999999999999E-2</v>
      </c>
      <c r="L41" s="75"/>
    </row>
    <row r="42" spans="1:12" x14ac:dyDescent="0.25">
      <c r="A42" s="58">
        <v>43476</v>
      </c>
      <c r="B42" s="57">
        <v>1</v>
      </c>
      <c r="C42" s="57">
        <v>47</v>
      </c>
      <c r="D42" s="59">
        <f t="shared" si="0"/>
        <v>559</v>
      </c>
      <c r="E42" s="60">
        <f t="shared" si="1"/>
        <v>4.7E-2</v>
      </c>
      <c r="L42" s="75"/>
    </row>
    <row r="43" spans="1:12" x14ac:dyDescent="0.25">
      <c r="A43" s="58">
        <v>43476</v>
      </c>
      <c r="B43" s="57">
        <v>1</v>
      </c>
      <c r="C43" s="57">
        <v>48</v>
      </c>
      <c r="D43" s="59">
        <f t="shared" si="0"/>
        <v>559</v>
      </c>
      <c r="E43" s="60">
        <f t="shared" si="1"/>
        <v>4.8000000000000001E-2</v>
      </c>
      <c r="L43" s="75"/>
    </row>
    <row r="44" spans="1:12" x14ac:dyDescent="0.25">
      <c r="A44" s="58">
        <v>43476</v>
      </c>
      <c r="B44" s="57">
        <v>1</v>
      </c>
      <c r="C44" s="57">
        <v>49</v>
      </c>
      <c r="D44" s="59">
        <f t="shared" si="0"/>
        <v>559</v>
      </c>
      <c r="E44" s="60">
        <f t="shared" si="1"/>
        <v>4.9000000000000002E-2</v>
      </c>
      <c r="L44" s="75"/>
    </row>
    <row r="45" spans="1:12" x14ac:dyDescent="0.25">
      <c r="A45" s="58">
        <v>43476</v>
      </c>
      <c r="B45" s="57">
        <v>1</v>
      </c>
      <c r="C45" s="57">
        <v>50</v>
      </c>
      <c r="D45" s="59">
        <f t="shared" si="0"/>
        <v>559</v>
      </c>
      <c r="E45" s="60">
        <f t="shared" si="1"/>
        <v>0.05</v>
      </c>
      <c r="L45" s="75"/>
    </row>
    <row r="46" spans="1:12" x14ac:dyDescent="0.25">
      <c r="A46" s="58">
        <v>43476</v>
      </c>
      <c r="B46" s="57">
        <v>2</v>
      </c>
      <c r="C46" s="57">
        <v>52</v>
      </c>
      <c r="D46" s="59">
        <f t="shared" si="0"/>
        <v>559</v>
      </c>
      <c r="E46" s="60">
        <f t="shared" si="1"/>
        <v>5.1999999999999998E-2</v>
      </c>
      <c r="L46" s="75"/>
    </row>
    <row r="47" spans="1:12" x14ac:dyDescent="0.25">
      <c r="A47" s="58">
        <v>43476</v>
      </c>
      <c r="B47" s="57">
        <v>1</v>
      </c>
      <c r="C47" s="57">
        <v>53</v>
      </c>
      <c r="D47" s="59">
        <f t="shared" si="0"/>
        <v>559</v>
      </c>
      <c r="E47" s="60">
        <f t="shared" si="1"/>
        <v>5.2999999999999999E-2</v>
      </c>
      <c r="L47" s="75"/>
    </row>
    <row r="48" spans="1:12" x14ac:dyDescent="0.25">
      <c r="A48" s="58">
        <v>43478</v>
      </c>
      <c r="B48" s="57">
        <v>2</v>
      </c>
      <c r="C48" s="57">
        <v>55</v>
      </c>
      <c r="D48" s="59">
        <f t="shared" si="0"/>
        <v>561</v>
      </c>
      <c r="E48" s="60">
        <f t="shared" si="1"/>
        <v>5.5E-2</v>
      </c>
      <c r="L48" s="75"/>
    </row>
    <row r="49" spans="1:12" x14ac:dyDescent="0.25">
      <c r="A49" s="58">
        <v>43478</v>
      </c>
      <c r="B49" s="57">
        <v>1</v>
      </c>
      <c r="C49" s="57">
        <v>56</v>
      </c>
      <c r="D49" s="59">
        <f t="shared" si="0"/>
        <v>561</v>
      </c>
      <c r="E49" s="60">
        <f t="shared" si="1"/>
        <v>5.6000000000000001E-2</v>
      </c>
      <c r="L49" s="75"/>
    </row>
    <row r="50" spans="1:12" x14ac:dyDescent="0.25">
      <c r="A50" s="58">
        <v>43478</v>
      </c>
      <c r="B50" s="57">
        <v>1</v>
      </c>
      <c r="C50" s="57">
        <v>57</v>
      </c>
      <c r="D50" s="59">
        <f t="shared" si="0"/>
        <v>561</v>
      </c>
      <c r="E50" s="60">
        <f t="shared" si="1"/>
        <v>5.7000000000000002E-2</v>
      </c>
      <c r="L50" s="75"/>
    </row>
    <row r="51" spans="1:12" x14ac:dyDescent="0.25">
      <c r="A51" s="58">
        <v>43480</v>
      </c>
      <c r="B51" s="57">
        <v>1</v>
      </c>
      <c r="C51" s="57">
        <v>58</v>
      </c>
      <c r="D51" s="59">
        <f t="shared" si="0"/>
        <v>563</v>
      </c>
      <c r="E51" s="60">
        <f t="shared" si="1"/>
        <v>5.8000000000000003E-2</v>
      </c>
      <c r="L51" s="75"/>
    </row>
    <row r="52" spans="1:12" x14ac:dyDescent="0.25">
      <c r="A52" s="58">
        <v>43480</v>
      </c>
      <c r="B52" s="57">
        <v>1</v>
      </c>
      <c r="C52" s="57">
        <v>59</v>
      </c>
      <c r="D52" s="59">
        <f t="shared" si="0"/>
        <v>563</v>
      </c>
      <c r="E52" s="60">
        <f t="shared" si="1"/>
        <v>5.8999999999999997E-2</v>
      </c>
      <c r="L52" s="75"/>
    </row>
    <row r="53" spans="1:12" x14ac:dyDescent="0.25">
      <c r="A53" s="58">
        <v>43480</v>
      </c>
      <c r="B53" s="57">
        <v>2</v>
      </c>
      <c r="C53" s="57">
        <v>61</v>
      </c>
      <c r="D53" s="59">
        <f t="shared" si="0"/>
        <v>563</v>
      </c>
      <c r="E53" s="60">
        <f t="shared" si="1"/>
        <v>6.0999999999999999E-2</v>
      </c>
      <c r="L53" s="75"/>
    </row>
    <row r="54" spans="1:12" x14ac:dyDescent="0.25">
      <c r="A54" s="58">
        <v>43480</v>
      </c>
      <c r="B54" s="57">
        <v>1</v>
      </c>
      <c r="C54" s="57">
        <v>62</v>
      </c>
      <c r="D54" s="59">
        <f t="shared" si="0"/>
        <v>563</v>
      </c>
      <c r="E54" s="60">
        <f t="shared" si="1"/>
        <v>6.2E-2</v>
      </c>
      <c r="L54" s="75"/>
    </row>
    <row r="55" spans="1:12" x14ac:dyDescent="0.25">
      <c r="A55" s="58">
        <v>43480</v>
      </c>
      <c r="B55" s="57">
        <v>4</v>
      </c>
      <c r="C55" s="57">
        <v>66</v>
      </c>
      <c r="D55" s="59">
        <f t="shared" si="0"/>
        <v>563</v>
      </c>
      <c r="E55" s="60">
        <f t="shared" si="1"/>
        <v>6.6000000000000003E-2</v>
      </c>
      <c r="L55" s="75"/>
    </row>
    <row r="56" spans="1:12" x14ac:dyDescent="0.25">
      <c r="A56" s="58">
        <v>43480</v>
      </c>
      <c r="B56" s="57">
        <v>1</v>
      </c>
      <c r="C56" s="57">
        <v>67</v>
      </c>
      <c r="D56" s="59">
        <f t="shared" si="0"/>
        <v>563</v>
      </c>
      <c r="E56" s="60">
        <f t="shared" si="1"/>
        <v>6.7000000000000004E-2</v>
      </c>
      <c r="L56" s="75"/>
    </row>
    <row r="57" spans="1:12" x14ac:dyDescent="0.25">
      <c r="A57" s="58">
        <v>43482</v>
      </c>
      <c r="B57" s="57">
        <v>1</v>
      </c>
      <c r="C57" s="57">
        <v>68</v>
      </c>
      <c r="D57" s="59">
        <f t="shared" si="0"/>
        <v>565</v>
      </c>
      <c r="E57" s="60">
        <f t="shared" si="1"/>
        <v>6.8000000000000005E-2</v>
      </c>
      <c r="L57" s="75"/>
    </row>
    <row r="58" spans="1:12" x14ac:dyDescent="0.25">
      <c r="A58" s="58">
        <v>43482</v>
      </c>
      <c r="B58" s="57">
        <v>1</v>
      </c>
      <c r="C58" s="57">
        <v>69</v>
      </c>
      <c r="D58" s="59">
        <f t="shared" si="0"/>
        <v>565</v>
      </c>
      <c r="E58" s="60">
        <f t="shared" si="1"/>
        <v>6.9000000000000006E-2</v>
      </c>
      <c r="L58" s="75"/>
    </row>
    <row r="59" spans="1:12" x14ac:dyDescent="0.25">
      <c r="A59" s="58">
        <v>43482</v>
      </c>
      <c r="B59" s="57">
        <v>2</v>
      </c>
      <c r="C59" s="57">
        <v>71</v>
      </c>
      <c r="D59" s="59">
        <f t="shared" si="0"/>
        <v>565</v>
      </c>
      <c r="E59" s="60">
        <f t="shared" si="1"/>
        <v>7.0999999999999994E-2</v>
      </c>
      <c r="L59" s="75"/>
    </row>
    <row r="60" spans="1:12" x14ac:dyDescent="0.25">
      <c r="A60" s="58">
        <v>43482</v>
      </c>
      <c r="B60" s="57">
        <v>1</v>
      </c>
      <c r="C60" s="57">
        <v>72</v>
      </c>
      <c r="D60" s="59">
        <f t="shared" si="0"/>
        <v>565</v>
      </c>
      <c r="E60" s="60">
        <f t="shared" si="1"/>
        <v>7.1999999999999995E-2</v>
      </c>
      <c r="L60" s="75"/>
    </row>
    <row r="61" spans="1:12" x14ac:dyDescent="0.25">
      <c r="A61" s="58">
        <v>43482</v>
      </c>
      <c r="B61" s="57">
        <v>1</v>
      </c>
      <c r="C61" s="57">
        <v>73</v>
      </c>
      <c r="D61" s="59">
        <f t="shared" si="0"/>
        <v>565</v>
      </c>
      <c r="E61" s="60">
        <f t="shared" si="1"/>
        <v>7.2999999999999995E-2</v>
      </c>
      <c r="L61" s="75"/>
    </row>
    <row r="62" spans="1:12" x14ac:dyDescent="0.25">
      <c r="A62" s="58">
        <v>43482</v>
      </c>
      <c r="B62" s="57">
        <v>1</v>
      </c>
      <c r="C62" s="57">
        <v>74</v>
      </c>
      <c r="D62" s="59">
        <f t="shared" si="0"/>
        <v>565</v>
      </c>
      <c r="E62" s="60">
        <f t="shared" si="1"/>
        <v>7.3999999999999996E-2</v>
      </c>
      <c r="L62" s="75"/>
    </row>
    <row r="63" spans="1:12" x14ac:dyDescent="0.25">
      <c r="A63" s="58">
        <v>43482</v>
      </c>
      <c r="B63" s="57">
        <v>2</v>
      </c>
      <c r="C63" s="57">
        <v>76</v>
      </c>
      <c r="D63" s="59">
        <f t="shared" si="0"/>
        <v>565</v>
      </c>
      <c r="E63" s="60">
        <f t="shared" si="1"/>
        <v>7.5999999999999998E-2</v>
      </c>
      <c r="L63" s="75"/>
    </row>
    <row r="64" spans="1:12" x14ac:dyDescent="0.25">
      <c r="A64" s="58">
        <v>43482</v>
      </c>
      <c r="B64" s="57">
        <v>2</v>
      </c>
      <c r="C64" s="57">
        <v>78</v>
      </c>
      <c r="D64" s="59">
        <f t="shared" si="0"/>
        <v>565</v>
      </c>
      <c r="E64" s="60">
        <f t="shared" si="1"/>
        <v>7.8E-2</v>
      </c>
      <c r="L64" s="75"/>
    </row>
    <row r="65" spans="1:12" x14ac:dyDescent="0.25">
      <c r="A65" s="58">
        <v>43482</v>
      </c>
      <c r="B65" s="57">
        <v>2</v>
      </c>
      <c r="C65" s="57">
        <v>80</v>
      </c>
      <c r="D65" s="59">
        <f t="shared" si="0"/>
        <v>565</v>
      </c>
      <c r="E65" s="60">
        <f t="shared" si="1"/>
        <v>0.08</v>
      </c>
      <c r="L65" s="75"/>
    </row>
    <row r="66" spans="1:12" x14ac:dyDescent="0.25">
      <c r="A66" s="58">
        <v>43482</v>
      </c>
      <c r="B66" s="57">
        <v>4</v>
      </c>
      <c r="C66" s="57">
        <v>84</v>
      </c>
      <c r="D66" s="59">
        <f t="shared" si="0"/>
        <v>565</v>
      </c>
      <c r="E66" s="60">
        <f t="shared" si="1"/>
        <v>8.4000000000000005E-2</v>
      </c>
      <c r="L66" s="75"/>
    </row>
    <row r="67" spans="1:12" x14ac:dyDescent="0.25">
      <c r="A67" s="58">
        <v>43484</v>
      </c>
      <c r="B67" s="57">
        <v>1</v>
      </c>
      <c r="C67" s="57">
        <v>85</v>
      </c>
      <c r="D67" s="59">
        <f t="shared" ref="D67:D130" si="2">A67-$I$3</f>
        <v>567</v>
      </c>
      <c r="E67" s="60">
        <f t="shared" ref="E67:E130" si="3">C67/MAX(C:C)</f>
        <v>8.5000000000000006E-2</v>
      </c>
      <c r="L67" s="75"/>
    </row>
    <row r="68" spans="1:12" x14ac:dyDescent="0.25">
      <c r="A68" s="58">
        <v>43484</v>
      </c>
      <c r="B68" s="57">
        <v>2</v>
      </c>
      <c r="C68" s="57">
        <v>87</v>
      </c>
      <c r="D68" s="59">
        <f t="shared" si="2"/>
        <v>567</v>
      </c>
      <c r="E68" s="60">
        <f t="shared" si="3"/>
        <v>8.6999999999999994E-2</v>
      </c>
      <c r="L68" s="75"/>
    </row>
    <row r="69" spans="1:12" x14ac:dyDescent="0.25">
      <c r="A69" s="58">
        <v>43484</v>
      </c>
      <c r="B69" s="57">
        <v>1</v>
      </c>
      <c r="C69" s="57">
        <v>88</v>
      </c>
      <c r="D69" s="59">
        <f t="shared" si="2"/>
        <v>567</v>
      </c>
      <c r="E69" s="60">
        <f t="shared" si="3"/>
        <v>8.7999999999999995E-2</v>
      </c>
      <c r="L69" s="75"/>
    </row>
    <row r="70" spans="1:12" x14ac:dyDescent="0.25">
      <c r="A70" s="58">
        <v>43484</v>
      </c>
      <c r="B70" s="57">
        <v>1</v>
      </c>
      <c r="C70" s="57">
        <v>89</v>
      </c>
      <c r="D70" s="59">
        <f t="shared" si="2"/>
        <v>567</v>
      </c>
      <c r="E70" s="60">
        <f t="shared" si="3"/>
        <v>8.8999999999999996E-2</v>
      </c>
      <c r="K70" s="39"/>
      <c r="L70" s="75"/>
    </row>
    <row r="71" spans="1:12" x14ac:dyDescent="0.25">
      <c r="A71" s="58">
        <v>43484</v>
      </c>
      <c r="B71" s="57">
        <v>3</v>
      </c>
      <c r="C71" s="57">
        <v>92</v>
      </c>
      <c r="D71" s="59">
        <f t="shared" si="2"/>
        <v>567</v>
      </c>
      <c r="E71" s="60">
        <f t="shared" si="3"/>
        <v>9.1999999999999998E-2</v>
      </c>
      <c r="L71" s="75"/>
    </row>
    <row r="72" spans="1:12" x14ac:dyDescent="0.25">
      <c r="A72" s="58">
        <v>43484</v>
      </c>
      <c r="B72" s="57">
        <v>1</v>
      </c>
      <c r="C72" s="57">
        <v>93</v>
      </c>
      <c r="D72" s="59">
        <f t="shared" si="2"/>
        <v>567</v>
      </c>
      <c r="E72" s="60">
        <f t="shared" si="3"/>
        <v>9.2999999999999999E-2</v>
      </c>
      <c r="L72" s="75"/>
    </row>
    <row r="73" spans="1:12" x14ac:dyDescent="0.25">
      <c r="A73" s="58">
        <v>43484</v>
      </c>
      <c r="B73" s="57">
        <v>1</v>
      </c>
      <c r="C73" s="57">
        <v>94</v>
      </c>
      <c r="D73" s="59">
        <f t="shared" si="2"/>
        <v>567</v>
      </c>
      <c r="E73" s="60">
        <f t="shared" si="3"/>
        <v>9.4E-2</v>
      </c>
      <c r="K73" s="39"/>
      <c r="L73" s="75"/>
    </row>
    <row r="74" spans="1:12" x14ac:dyDescent="0.25">
      <c r="A74" s="58">
        <v>43484</v>
      </c>
      <c r="B74" s="57">
        <v>2</v>
      </c>
      <c r="C74" s="57">
        <v>96</v>
      </c>
      <c r="D74" s="59">
        <f t="shared" si="2"/>
        <v>567</v>
      </c>
      <c r="E74" s="60">
        <f t="shared" si="3"/>
        <v>9.6000000000000002E-2</v>
      </c>
      <c r="L74" s="75"/>
    </row>
    <row r="75" spans="1:12" x14ac:dyDescent="0.25">
      <c r="A75" s="58">
        <v>43484</v>
      </c>
      <c r="B75" s="57">
        <v>1</v>
      </c>
      <c r="C75" s="57">
        <v>97</v>
      </c>
      <c r="D75" s="59">
        <f t="shared" si="2"/>
        <v>567</v>
      </c>
      <c r="E75" s="60">
        <f t="shared" si="3"/>
        <v>9.7000000000000003E-2</v>
      </c>
      <c r="L75" s="75"/>
    </row>
    <row r="76" spans="1:12" x14ac:dyDescent="0.25">
      <c r="A76" s="58">
        <v>43486</v>
      </c>
      <c r="B76" s="57">
        <v>4</v>
      </c>
      <c r="C76" s="57">
        <v>101</v>
      </c>
      <c r="D76" s="59">
        <f t="shared" si="2"/>
        <v>569</v>
      </c>
      <c r="E76" s="60">
        <f t="shared" si="3"/>
        <v>0.10100000000000001</v>
      </c>
      <c r="K76" s="39"/>
      <c r="L76" s="75"/>
    </row>
    <row r="77" spans="1:12" x14ac:dyDescent="0.25">
      <c r="A77" s="58">
        <v>43486</v>
      </c>
      <c r="B77" s="57">
        <v>1</v>
      </c>
      <c r="C77" s="57">
        <v>102</v>
      </c>
      <c r="D77" s="59">
        <f t="shared" si="2"/>
        <v>569</v>
      </c>
      <c r="E77" s="60">
        <f t="shared" si="3"/>
        <v>0.10199999999999999</v>
      </c>
      <c r="L77" s="75"/>
    </row>
    <row r="78" spans="1:12" x14ac:dyDescent="0.25">
      <c r="A78" s="58">
        <v>43486</v>
      </c>
      <c r="B78" s="57">
        <v>1</v>
      </c>
      <c r="C78" s="57">
        <v>103</v>
      </c>
      <c r="D78" s="59">
        <f t="shared" si="2"/>
        <v>569</v>
      </c>
      <c r="E78" s="60">
        <f t="shared" si="3"/>
        <v>0.10299999999999999</v>
      </c>
      <c r="L78" s="75"/>
    </row>
    <row r="79" spans="1:12" x14ac:dyDescent="0.25">
      <c r="A79" s="58">
        <v>43486</v>
      </c>
      <c r="B79" s="57">
        <v>1</v>
      </c>
      <c r="C79" s="57">
        <v>104</v>
      </c>
      <c r="D79" s="59">
        <f t="shared" si="2"/>
        <v>569</v>
      </c>
      <c r="E79" s="60">
        <f t="shared" si="3"/>
        <v>0.104</v>
      </c>
      <c r="K79" s="39"/>
      <c r="L79" s="75"/>
    </row>
    <row r="80" spans="1:12" x14ac:dyDescent="0.25">
      <c r="A80" s="58">
        <v>43488</v>
      </c>
      <c r="B80" s="57">
        <v>1</v>
      </c>
      <c r="C80" s="57">
        <v>105</v>
      </c>
      <c r="D80" s="59">
        <f t="shared" si="2"/>
        <v>571</v>
      </c>
      <c r="E80" s="60">
        <f t="shared" si="3"/>
        <v>0.105</v>
      </c>
      <c r="L80" s="75"/>
    </row>
    <row r="81" spans="1:12" x14ac:dyDescent="0.25">
      <c r="A81" s="58">
        <v>43488</v>
      </c>
      <c r="B81" s="57">
        <v>4</v>
      </c>
      <c r="C81" s="57">
        <v>109</v>
      </c>
      <c r="D81" s="59">
        <f t="shared" si="2"/>
        <v>571</v>
      </c>
      <c r="E81" s="60">
        <f t="shared" si="3"/>
        <v>0.109</v>
      </c>
      <c r="L81" s="75"/>
    </row>
    <row r="82" spans="1:12" x14ac:dyDescent="0.25">
      <c r="A82" s="58">
        <v>43488</v>
      </c>
      <c r="B82" s="57">
        <v>2</v>
      </c>
      <c r="C82" s="57">
        <v>111</v>
      </c>
      <c r="D82" s="59">
        <f t="shared" si="2"/>
        <v>571</v>
      </c>
      <c r="E82" s="60">
        <f t="shared" si="3"/>
        <v>0.111</v>
      </c>
      <c r="L82" s="75"/>
    </row>
    <row r="83" spans="1:12" x14ac:dyDescent="0.25">
      <c r="A83" s="58">
        <v>43488</v>
      </c>
      <c r="B83" s="57">
        <v>1</v>
      </c>
      <c r="C83" s="57">
        <v>112</v>
      </c>
      <c r="D83" s="59">
        <f t="shared" si="2"/>
        <v>571</v>
      </c>
      <c r="E83" s="60">
        <f t="shared" si="3"/>
        <v>0.112</v>
      </c>
      <c r="L83" s="75"/>
    </row>
    <row r="84" spans="1:12" x14ac:dyDescent="0.25">
      <c r="A84" s="58">
        <v>43488</v>
      </c>
      <c r="B84" s="57">
        <v>1</v>
      </c>
      <c r="C84" s="57">
        <v>113</v>
      </c>
      <c r="D84" s="59">
        <f t="shared" si="2"/>
        <v>571</v>
      </c>
      <c r="E84" s="60">
        <f t="shared" si="3"/>
        <v>0.113</v>
      </c>
      <c r="L84" s="75"/>
    </row>
    <row r="85" spans="1:12" x14ac:dyDescent="0.25">
      <c r="A85" s="58">
        <v>43488</v>
      </c>
      <c r="B85" s="57">
        <v>1</v>
      </c>
      <c r="C85" s="57">
        <v>114</v>
      </c>
      <c r="D85" s="59">
        <f t="shared" si="2"/>
        <v>571</v>
      </c>
      <c r="E85" s="60">
        <f t="shared" si="3"/>
        <v>0.114</v>
      </c>
      <c r="L85" s="75"/>
    </row>
    <row r="86" spans="1:12" x14ac:dyDescent="0.25">
      <c r="A86" s="58">
        <v>43488</v>
      </c>
      <c r="B86" s="57">
        <v>1</v>
      </c>
      <c r="C86" s="57">
        <v>115</v>
      </c>
      <c r="D86" s="59">
        <f t="shared" si="2"/>
        <v>571</v>
      </c>
      <c r="E86" s="60">
        <f t="shared" si="3"/>
        <v>0.115</v>
      </c>
      <c r="L86" s="75"/>
    </row>
    <row r="87" spans="1:12" x14ac:dyDescent="0.25">
      <c r="A87" s="58">
        <v>43490</v>
      </c>
      <c r="B87" s="57">
        <v>3</v>
      </c>
      <c r="C87" s="57">
        <v>118</v>
      </c>
      <c r="D87" s="59">
        <f t="shared" si="2"/>
        <v>573</v>
      </c>
      <c r="E87" s="60">
        <f t="shared" si="3"/>
        <v>0.11799999999999999</v>
      </c>
      <c r="L87" s="75"/>
    </row>
    <row r="88" spans="1:12" x14ac:dyDescent="0.25">
      <c r="A88" s="58">
        <v>43490</v>
      </c>
      <c r="B88" s="57">
        <v>1</v>
      </c>
      <c r="C88" s="57">
        <v>119</v>
      </c>
      <c r="D88" s="59">
        <f t="shared" si="2"/>
        <v>573</v>
      </c>
      <c r="E88" s="60">
        <f t="shared" si="3"/>
        <v>0.11899999999999999</v>
      </c>
      <c r="L88" s="75"/>
    </row>
    <row r="89" spans="1:12" x14ac:dyDescent="0.25">
      <c r="A89" s="58">
        <v>43490</v>
      </c>
      <c r="B89" s="57">
        <v>1</v>
      </c>
      <c r="C89" s="57">
        <v>120</v>
      </c>
      <c r="D89" s="59">
        <f t="shared" si="2"/>
        <v>573</v>
      </c>
      <c r="E89" s="60">
        <f t="shared" si="3"/>
        <v>0.12</v>
      </c>
      <c r="L89" s="75"/>
    </row>
    <row r="90" spans="1:12" x14ac:dyDescent="0.25">
      <c r="A90" s="58">
        <v>43492</v>
      </c>
      <c r="B90" s="57">
        <v>1</v>
      </c>
      <c r="C90" s="57">
        <v>121</v>
      </c>
      <c r="D90" s="59">
        <f t="shared" si="2"/>
        <v>575</v>
      </c>
      <c r="E90" s="60">
        <f t="shared" si="3"/>
        <v>0.121</v>
      </c>
      <c r="L90" s="75"/>
    </row>
    <row r="91" spans="1:12" x14ac:dyDescent="0.25">
      <c r="A91" s="58">
        <v>43492</v>
      </c>
      <c r="B91" s="57">
        <v>1</v>
      </c>
      <c r="C91" s="57">
        <v>122</v>
      </c>
      <c r="D91" s="59">
        <f t="shared" si="2"/>
        <v>575</v>
      </c>
      <c r="E91" s="60">
        <f t="shared" si="3"/>
        <v>0.122</v>
      </c>
      <c r="L91" s="75"/>
    </row>
    <row r="92" spans="1:12" x14ac:dyDescent="0.25">
      <c r="A92" s="58">
        <v>43492</v>
      </c>
      <c r="B92" s="57">
        <v>1</v>
      </c>
      <c r="C92" s="57">
        <v>123</v>
      </c>
      <c r="D92" s="59">
        <f t="shared" si="2"/>
        <v>575</v>
      </c>
      <c r="E92" s="60">
        <f t="shared" si="3"/>
        <v>0.123</v>
      </c>
      <c r="L92" s="75"/>
    </row>
    <row r="93" spans="1:12" x14ac:dyDescent="0.25">
      <c r="A93" s="58">
        <v>43492</v>
      </c>
      <c r="B93" s="57">
        <v>5</v>
      </c>
      <c r="C93" s="57">
        <v>128</v>
      </c>
      <c r="D93" s="59">
        <f t="shared" si="2"/>
        <v>575</v>
      </c>
      <c r="E93" s="60">
        <f t="shared" si="3"/>
        <v>0.128</v>
      </c>
      <c r="L93" s="75"/>
    </row>
    <row r="94" spans="1:12" x14ac:dyDescent="0.25">
      <c r="A94" s="58">
        <v>43492</v>
      </c>
      <c r="B94" s="57">
        <v>2</v>
      </c>
      <c r="C94" s="57">
        <v>130</v>
      </c>
      <c r="D94" s="59">
        <f t="shared" si="2"/>
        <v>575</v>
      </c>
      <c r="E94" s="60">
        <f t="shared" si="3"/>
        <v>0.13</v>
      </c>
      <c r="L94" s="75"/>
    </row>
    <row r="95" spans="1:12" x14ac:dyDescent="0.25">
      <c r="A95" s="58">
        <v>43492</v>
      </c>
      <c r="B95" s="57">
        <v>2</v>
      </c>
      <c r="C95" s="57">
        <v>132</v>
      </c>
      <c r="D95" s="59">
        <f t="shared" si="2"/>
        <v>575</v>
      </c>
      <c r="E95" s="60">
        <f t="shared" si="3"/>
        <v>0.13200000000000001</v>
      </c>
      <c r="L95" s="75"/>
    </row>
    <row r="96" spans="1:12" x14ac:dyDescent="0.25">
      <c r="A96" s="58">
        <v>43492</v>
      </c>
      <c r="B96" s="57">
        <v>3</v>
      </c>
      <c r="C96" s="57">
        <v>135</v>
      </c>
      <c r="D96" s="59">
        <f t="shared" si="2"/>
        <v>575</v>
      </c>
      <c r="E96" s="60">
        <f t="shared" si="3"/>
        <v>0.13500000000000001</v>
      </c>
      <c r="L96" s="75"/>
    </row>
    <row r="97" spans="1:12" x14ac:dyDescent="0.25">
      <c r="A97" s="58">
        <v>43492</v>
      </c>
      <c r="B97" s="57">
        <v>1</v>
      </c>
      <c r="C97" s="57">
        <v>136</v>
      </c>
      <c r="D97" s="59">
        <f t="shared" si="2"/>
        <v>575</v>
      </c>
      <c r="E97" s="60">
        <f t="shared" si="3"/>
        <v>0.13600000000000001</v>
      </c>
      <c r="L97" s="75"/>
    </row>
    <row r="98" spans="1:12" x14ac:dyDescent="0.25">
      <c r="A98" s="58">
        <v>43494</v>
      </c>
      <c r="B98" s="57">
        <v>1</v>
      </c>
      <c r="C98" s="57">
        <v>137</v>
      </c>
      <c r="D98" s="59">
        <f t="shared" si="2"/>
        <v>577</v>
      </c>
      <c r="E98" s="60">
        <f t="shared" si="3"/>
        <v>0.13700000000000001</v>
      </c>
      <c r="L98" s="75"/>
    </row>
    <row r="99" spans="1:12" x14ac:dyDescent="0.25">
      <c r="A99" s="58">
        <v>43494</v>
      </c>
      <c r="B99" s="57">
        <v>2</v>
      </c>
      <c r="C99" s="57">
        <v>139</v>
      </c>
      <c r="D99" s="59">
        <f t="shared" si="2"/>
        <v>577</v>
      </c>
      <c r="E99" s="60">
        <f t="shared" si="3"/>
        <v>0.13900000000000001</v>
      </c>
      <c r="L99" s="75"/>
    </row>
    <row r="100" spans="1:12" x14ac:dyDescent="0.25">
      <c r="A100" s="58">
        <v>43494</v>
      </c>
      <c r="B100" s="57">
        <v>1</v>
      </c>
      <c r="C100" s="57">
        <v>140</v>
      </c>
      <c r="D100" s="59">
        <f t="shared" si="2"/>
        <v>577</v>
      </c>
      <c r="E100" s="60">
        <f t="shared" si="3"/>
        <v>0.14000000000000001</v>
      </c>
      <c r="L100" s="75"/>
    </row>
    <row r="101" spans="1:12" x14ac:dyDescent="0.25">
      <c r="A101" s="58">
        <v>43494</v>
      </c>
      <c r="B101" s="57">
        <v>1</v>
      </c>
      <c r="C101" s="57">
        <v>141</v>
      </c>
      <c r="D101" s="59">
        <f t="shared" si="2"/>
        <v>577</v>
      </c>
      <c r="E101" s="60">
        <f t="shared" si="3"/>
        <v>0.14099999999999999</v>
      </c>
      <c r="L101" s="75"/>
    </row>
    <row r="102" spans="1:12" x14ac:dyDescent="0.25">
      <c r="A102" s="58">
        <v>43494</v>
      </c>
      <c r="B102" s="57">
        <v>2</v>
      </c>
      <c r="C102" s="57">
        <v>143</v>
      </c>
      <c r="D102" s="59">
        <f t="shared" si="2"/>
        <v>577</v>
      </c>
      <c r="E102" s="60">
        <f t="shared" si="3"/>
        <v>0.14299999999999999</v>
      </c>
      <c r="L102" s="75"/>
    </row>
    <row r="103" spans="1:12" x14ac:dyDescent="0.25">
      <c r="A103" s="58">
        <v>43494</v>
      </c>
      <c r="B103" s="57">
        <v>2</v>
      </c>
      <c r="C103" s="57">
        <v>145</v>
      </c>
      <c r="D103" s="59">
        <f t="shared" si="2"/>
        <v>577</v>
      </c>
      <c r="E103" s="60">
        <f t="shared" si="3"/>
        <v>0.14499999999999999</v>
      </c>
      <c r="L103" s="75"/>
    </row>
    <row r="104" spans="1:12" x14ac:dyDescent="0.25">
      <c r="A104" s="58">
        <v>43494</v>
      </c>
      <c r="B104" s="57">
        <v>2</v>
      </c>
      <c r="C104" s="57">
        <v>147</v>
      </c>
      <c r="D104" s="59">
        <f t="shared" si="2"/>
        <v>577</v>
      </c>
      <c r="E104" s="60">
        <f t="shared" si="3"/>
        <v>0.14699999999999999</v>
      </c>
      <c r="L104" s="75"/>
    </row>
    <row r="105" spans="1:12" x14ac:dyDescent="0.25">
      <c r="A105" s="58">
        <v>43494</v>
      </c>
      <c r="B105" s="57">
        <v>3</v>
      </c>
      <c r="C105" s="57">
        <v>150</v>
      </c>
      <c r="D105" s="59">
        <f t="shared" si="2"/>
        <v>577</v>
      </c>
      <c r="E105" s="60">
        <f t="shared" si="3"/>
        <v>0.15</v>
      </c>
      <c r="L105" s="75"/>
    </row>
    <row r="106" spans="1:12" x14ac:dyDescent="0.25">
      <c r="A106" s="58">
        <v>43494</v>
      </c>
      <c r="B106" s="57">
        <v>1</v>
      </c>
      <c r="C106" s="57">
        <v>151</v>
      </c>
      <c r="D106" s="59">
        <f t="shared" si="2"/>
        <v>577</v>
      </c>
      <c r="E106" s="60">
        <f t="shared" si="3"/>
        <v>0.151</v>
      </c>
      <c r="L106" s="75"/>
    </row>
    <row r="107" spans="1:12" x14ac:dyDescent="0.25">
      <c r="A107" s="58">
        <v>43494</v>
      </c>
      <c r="B107" s="57">
        <v>2</v>
      </c>
      <c r="C107" s="57">
        <v>153</v>
      </c>
      <c r="D107" s="59">
        <f t="shared" si="2"/>
        <v>577</v>
      </c>
      <c r="E107" s="60">
        <f t="shared" si="3"/>
        <v>0.153</v>
      </c>
      <c r="L107" s="75"/>
    </row>
    <row r="108" spans="1:12" x14ac:dyDescent="0.25">
      <c r="A108" s="58">
        <v>43494</v>
      </c>
      <c r="B108" s="57">
        <v>3</v>
      </c>
      <c r="C108" s="57">
        <v>156</v>
      </c>
      <c r="D108" s="59">
        <f t="shared" si="2"/>
        <v>577</v>
      </c>
      <c r="E108" s="60">
        <f t="shared" si="3"/>
        <v>0.156</v>
      </c>
      <c r="L108" s="75"/>
    </row>
    <row r="109" spans="1:12" x14ac:dyDescent="0.25">
      <c r="A109" s="58">
        <v>43496</v>
      </c>
      <c r="B109" s="57">
        <v>3</v>
      </c>
      <c r="C109" s="57">
        <v>159</v>
      </c>
      <c r="D109" s="59">
        <f t="shared" si="2"/>
        <v>579</v>
      </c>
      <c r="E109" s="60">
        <f t="shared" si="3"/>
        <v>0.159</v>
      </c>
      <c r="L109" s="75"/>
    </row>
    <row r="110" spans="1:12" x14ac:dyDescent="0.25">
      <c r="A110" s="58">
        <v>43496</v>
      </c>
      <c r="B110" s="57">
        <v>1</v>
      </c>
      <c r="C110" s="57">
        <v>160</v>
      </c>
      <c r="D110" s="59">
        <f t="shared" si="2"/>
        <v>579</v>
      </c>
      <c r="E110" s="60">
        <f t="shared" si="3"/>
        <v>0.16</v>
      </c>
      <c r="L110" s="75"/>
    </row>
    <row r="111" spans="1:12" x14ac:dyDescent="0.25">
      <c r="A111" s="58">
        <v>43496</v>
      </c>
      <c r="B111" s="57">
        <v>3</v>
      </c>
      <c r="C111" s="57">
        <v>163</v>
      </c>
      <c r="D111" s="59">
        <f t="shared" si="2"/>
        <v>579</v>
      </c>
      <c r="E111" s="60">
        <f t="shared" si="3"/>
        <v>0.16300000000000001</v>
      </c>
      <c r="L111" s="75"/>
    </row>
    <row r="112" spans="1:12" x14ac:dyDescent="0.25">
      <c r="A112" s="58">
        <v>43498</v>
      </c>
      <c r="B112" s="57">
        <v>4</v>
      </c>
      <c r="C112" s="57">
        <v>167</v>
      </c>
      <c r="D112" s="59">
        <f t="shared" si="2"/>
        <v>581</v>
      </c>
      <c r="E112" s="60">
        <f t="shared" si="3"/>
        <v>0.16700000000000001</v>
      </c>
      <c r="L112" s="75"/>
    </row>
    <row r="113" spans="1:12" x14ac:dyDescent="0.25">
      <c r="A113" s="58">
        <v>43498</v>
      </c>
      <c r="B113" s="57">
        <v>1</v>
      </c>
      <c r="C113" s="57">
        <v>168</v>
      </c>
      <c r="D113" s="59">
        <f t="shared" si="2"/>
        <v>581</v>
      </c>
      <c r="E113" s="60">
        <f t="shared" si="3"/>
        <v>0.16800000000000001</v>
      </c>
      <c r="L113" s="75"/>
    </row>
    <row r="114" spans="1:12" x14ac:dyDescent="0.25">
      <c r="A114" s="58">
        <v>43498</v>
      </c>
      <c r="B114" s="57">
        <v>2</v>
      </c>
      <c r="C114" s="57">
        <v>170</v>
      </c>
      <c r="D114" s="59">
        <f t="shared" si="2"/>
        <v>581</v>
      </c>
      <c r="E114" s="60">
        <f t="shared" si="3"/>
        <v>0.17</v>
      </c>
      <c r="L114" s="75"/>
    </row>
    <row r="115" spans="1:12" x14ac:dyDescent="0.25">
      <c r="A115" s="58">
        <v>43498</v>
      </c>
      <c r="B115" s="57">
        <v>2</v>
      </c>
      <c r="C115" s="57">
        <v>172</v>
      </c>
      <c r="D115" s="59">
        <f t="shared" si="2"/>
        <v>581</v>
      </c>
      <c r="E115" s="60">
        <f t="shared" si="3"/>
        <v>0.17199999999999999</v>
      </c>
      <c r="L115" s="75"/>
    </row>
    <row r="116" spans="1:12" x14ac:dyDescent="0.25">
      <c r="A116" s="58">
        <v>43498</v>
      </c>
      <c r="B116" s="57">
        <v>3</v>
      </c>
      <c r="C116" s="57">
        <v>175</v>
      </c>
      <c r="D116" s="59">
        <f t="shared" si="2"/>
        <v>581</v>
      </c>
      <c r="E116" s="60">
        <f t="shared" si="3"/>
        <v>0.17499999999999999</v>
      </c>
      <c r="L116" s="75"/>
    </row>
    <row r="117" spans="1:12" x14ac:dyDescent="0.25">
      <c r="A117" s="58">
        <v>43498</v>
      </c>
      <c r="B117" s="57">
        <v>3</v>
      </c>
      <c r="C117" s="57">
        <v>178</v>
      </c>
      <c r="D117" s="59">
        <f t="shared" si="2"/>
        <v>581</v>
      </c>
      <c r="E117" s="60">
        <f t="shared" si="3"/>
        <v>0.17799999999999999</v>
      </c>
      <c r="L117" s="75"/>
    </row>
    <row r="118" spans="1:12" x14ac:dyDescent="0.25">
      <c r="A118" s="58">
        <v>43498</v>
      </c>
      <c r="B118" s="57">
        <v>3</v>
      </c>
      <c r="C118" s="57">
        <v>181</v>
      </c>
      <c r="D118" s="59">
        <f t="shared" si="2"/>
        <v>581</v>
      </c>
      <c r="E118" s="60">
        <f t="shared" si="3"/>
        <v>0.18099999999999999</v>
      </c>
      <c r="L118" s="75"/>
    </row>
    <row r="119" spans="1:12" x14ac:dyDescent="0.25">
      <c r="A119" s="58">
        <v>43498</v>
      </c>
      <c r="B119" s="57">
        <v>5</v>
      </c>
      <c r="C119" s="57">
        <v>186</v>
      </c>
      <c r="D119" s="59">
        <f t="shared" si="2"/>
        <v>581</v>
      </c>
      <c r="E119" s="60">
        <f t="shared" si="3"/>
        <v>0.186</v>
      </c>
      <c r="L119" s="75"/>
    </row>
    <row r="120" spans="1:12" x14ac:dyDescent="0.25">
      <c r="A120" s="58">
        <v>43498</v>
      </c>
      <c r="B120" s="57">
        <v>2</v>
      </c>
      <c r="C120" s="57">
        <v>188</v>
      </c>
      <c r="D120" s="59">
        <f t="shared" si="2"/>
        <v>581</v>
      </c>
      <c r="E120" s="60">
        <f t="shared" si="3"/>
        <v>0.188</v>
      </c>
      <c r="L120" s="75"/>
    </row>
    <row r="121" spans="1:12" x14ac:dyDescent="0.25">
      <c r="A121" s="58">
        <v>43498</v>
      </c>
      <c r="B121" s="57">
        <v>3</v>
      </c>
      <c r="C121" s="57">
        <v>191</v>
      </c>
      <c r="D121" s="59">
        <f t="shared" si="2"/>
        <v>581</v>
      </c>
      <c r="E121" s="60">
        <f t="shared" si="3"/>
        <v>0.191</v>
      </c>
      <c r="L121" s="75"/>
    </row>
    <row r="122" spans="1:12" x14ac:dyDescent="0.25">
      <c r="A122" s="58">
        <v>43498</v>
      </c>
      <c r="B122" s="57">
        <v>3</v>
      </c>
      <c r="C122" s="57">
        <v>194</v>
      </c>
      <c r="D122" s="59">
        <f t="shared" si="2"/>
        <v>581</v>
      </c>
      <c r="E122" s="60">
        <f t="shared" si="3"/>
        <v>0.19400000000000001</v>
      </c>
      <c r="L122" s="75"/>
    </row>
    <row r="123" spans="1:12" x14ac:dyDescent="0.25">
      <c r="A123" s="58">
        <v>43500</v>
      </c>
      <c r="B123" s="57">
        <v>1</v>
      </c>
      <c r="C123" s="57">
        <v>195</v>
      </c>
      <c r="D123" s="59">
        <f t="shared" si="2"/>
        <v>583</v>
      </c>
      <c r="E123" s="60">
        <f t="shared" si="3"/>
        <v>0.19500000000000001</v>
      </c>
      <c r="L123" s="75"/>
    </row>
    <row r="124" spans="1:12" x14ac:dyDescent="0.25">
      <c r="A124" s="58">
        <v>43500</v>
      </c>
      <c r="B124" s="57">
        <v>2</v>
      </c>
      <c r="C124" s="57">
        <v>197</v>
      </c>
      <c r="D124" s="59">
        <f t="shared" si="2"/>
        <v>583</v>
      </c>
      <c r="E124" s="60">
        <f t="shared" si="3"/>
        <v>0.19700000000000001</v>
      </c>
      <c r="L124" s="75"/>
    </row>
    <row r="125" spans="1:12" x14ac:dyDescent="0.25">
      <c r="A125" s="58">
        <v>43500</v>
      </c>
      <c r="B125" s="57">
        <v>3</v>
      </c>
      <c r="C125" s="57">
        <v>200</v>
      </c>
      <c r="D125" s="59">
        <f t="shared" si="2"/>
        <v>583</v>
      </c>
      <c r="E125" s="60">
        <f t="shared" si="3"/>
        <v>0.2</v>
      </c>
      <c r="L125" s="75"/>
    </row>
    <row r="126" spans="1:12" x14ac:dyDescent="0.25">
      <c r="A126" s="58">
        <v>43500</v>
      </c>
      <c r="B126" s="57">
        <v>7</v>
      </c>
      <c r="C126" s="57">
        <v>207</v>
      </c>
      <c r="D126" s="59">
        <f t="shared" si="2"/>
        <v>583</v>
      </c>
      <c r="E126" s="60">
        <f t="shared" si="3"/>
        <v>0.20699999999999999</v>
      </c>
      <c r="L126" s="75"/>
    </row>
    <row r="127" spans="1:12" x14ac:dyDescent="0.25">
      <c r="A127" s="58">
        <v>43500</v>
      </c>
      <c r="B127" s="57">
        <v>3</v>
      </c>
      <c r="C127" s="57">
        <v>210</v>
      </c>
      <c r="D127" s="59">
        <f t="shared" si="2"/>
        <v>583</v>
      </c>
      <c r="E127" s="60">
        <f t="shared" si="3"/>
        <v>0.21</v>
      </c>
      <c r="L127" s="75"/>
    </row>
    <row r="128" spans="1:12" x14ac:dyDescent="0.25">
      <c r="A128" s="58">
        <v>43500</v>
      </c>
      <c r="B128" s="57">
        <v>2</v>
      </c>
      <c r="C128" s="57">
        <v>212</v>
      </c>
      <c r="D128" s="59">
        <f t="shared" si="2"/>
        <v>583</v>
      </c>
      <c r="E128" s="60">
        <f t="shared" si="3"/>
        <v>0.21199999999999999</v>
      </c>
      <c r="L128" s="75"/>
    </row>
    <row r="129" spans="1:12" x14ac:dyDescent="0.25">
      <c r="A129" s="58">
        <v>43500</v>
      </c>
      <c r="B129" s="57">
        <v>2</v>
      </c>
      <c r="C129" s="57">
        <v>214</v>
      </c>
      <c r="D129" s="59">
        <f t="shared" si="2"/>
        <v>583</v>
      </c>
      <c r="E129" s="60">
        <f t="shared" si="3"/>
        <v>0.214</v>
      </c>
      <c r="L129" s="75"/>
    </row>
    <row r="130" spans="1:12" x14ac:dyDescent="0.25">
      <c r="A130" s="58">
        <v>43500</v>
      </c>
      <c r="B130" s="57">
        <v>3</v>
      </c>
      <c r="C130" s="57">
        <v>217</v>
      </c>
      <c r="D130" s="59">
        <f t="shared" si="2"/>
        <v>583</v>
      </c>
      <c r="E130" s="60">
        <f t="shared" si="3"/>
        <v>0.217</v>
      </c>
      <c r="L130" s="75"/>
    </row>
    <row r="131" spans="1:12" x14ac:dyDescent="0.25">
      <c r="A131" s="58">
        <v>43500</v>
      </c>
      <c r="B131" s="57">
        <v>1</v>
      </c>
      <c r="C131" s="57">
        <v>218</v>
      </c>
      <c r="D131" s="59">
        <f t="shared" ref="D131:D194" si="4">A131-$I$3</f>
        <v>583</v>
      </c>
      <c r="E131" s="60">
        <f t="shared" ref="E131:E194" si="5">C131/MAX(C:C)</f>
        <v>0.218</v>
      </c>
      <c r="L131" s="75"/>
    </row>
    <row r="132" spans="1:12" x14ac:dyDescent="0.25">
      <c r="A132" s="58">
        <v>43500</v>
      </c>
      <c r="B132" s="57">
        <v>2</v>
      </c>
      <c r="C132" s="57">
        <v>220</v>
      </c>
      <c r="D132" s="59">
        <f t="shared" si="4"/>
        <v>583</v>
      </c>
      <c r="E132" s="60">
        <f t="shared" si="5"/>
        <v>0.22</v>
      </c>
      <c r="L132" s="75"/>
    </row>
    <row r="133" spans="1:12" x14ac:dyDescent="0.25">
      <c r="A133" s="58">
        <v>43502</v>
      </c>
      <c r="B133" s="57">
        <v>7</v>
      </c>
      <c r="C133" s="57">
        <v>227</v>
      </c>
      <c r="D133" s="59">
        <f t="shared" si="4"/>
        <v>585</v>
      </c>
      <c r="E133" s="60">
        <f t="shared" si="5"/>
        <v>0.22700000000000001</v>
      </c>
      <c r="L133" s="75"/>
    </row>
    <row r="134" spans="1:12" x14ac:dyDescent="0.25">
      <c r="A134" s="58">
        <v>43502</v>
      </c>
      <c r="B134" s="57">
        <v>3</v>
      </c>
      <c r="C134" s="57">
        <v>230</v>
      </c>
      <c r="D134" s="59">
        <f t="shared" si="4"/>
        <v>585</v>
      </c>
      <c r="E134" s="60">
        <f t="shared" si="5"/>
        <v>0.23</v>
      </c>
      <c r="L134" s="75"/>
    </row>
    <row r="135" spans="1:12" x14ac:dyDescent="0.25">
      <c r="A135" s="58">
        <v>43502</v>
      </c>
      <c r="B135" s="57">
        <v>3</v>
      </c>
      <c r="C135" s="57">
        <v>233</v>
      </c>
      <c r="D135" s="59">
        <f t="shared" si="4"/>
        <v>585</v>
      </c>
      <c r="E135" s="60">
        <f t="shared" si="5"/>
        <v>0.23300000000000001</v>
      </c>
      <c r="L135" s="75"/>
    </row>
    <row r="136" spans="1:12" x14ac:dyDescent="0.25">
      <c r="A136" s="58">
        <v>43502</v>
      </c>
      <c r="B136" s="57">
        <v>3</v>
      </c>
      <c r="C136" s="57">
        <v>236</v>
      </c>
      <c r="D136" s="59">
        <f t="shared" si="4"/>
        <v>585</v>
      </c>
      <c r="E136" s="60">
        <f t="shared" si="5"/>
        <v>0.23599999999999999</v>
      </c>
      <c r="L136" s="75"/>
    </row>
    <row r="137" spans="1:12" x14ac:dyDescent="0.25">
      <c r="A137" s="58">
        <v>43502</v>
      </c>
      <c r="B137" s="57">
        <v>1</v>
      </c>
      <c r="C137" s="57">
        <v>237</v>
      </c>
      <c r="D137" s="59">
        <f t="shared" si="4"/>
        <v>585</v>
      </c>
      <c r="E137" s="60">
        <f t="shared" si="5"/>
        <v>0.23699999999999999</v>
      </c>
      <c r="L137" s="75"/>
    </row>
    <row r="138" spans="1:12" x14ac:dyDescent="0.25">
      <c r="A138" s="58">
        <v>43502</v>
      </c>
      <c r="B138" s="57">
        <v>3</v>
      </c>
      <c r="C138" s="57">
        <v>240</v>
      </c>
      <c r="D138" s="59">
        <f t="shared" si="4"/>
        <v>585</v>
      </c>
      <c r="E138" s="60">
        <f t="shared" si="5"/>
        <v>0.24</v>
      </c>
      <c r="L138" s="75"/>
    </row>
    <row r="139" spans="1:12" x14ac:dyDescent="0.25">
      <c r="A139" s="58">
        <v>43502</v>
      </c>
      <c r="B139" s="57">
        <v>1</v>
      </c>
      <c r="C139" s="57">
        <v>241</v>
      </c>
      <c r="D139" s="59">
        <f t="shared" si="4"/>
        <v>585</v>
      </c>
      <c r="E139" s="60">
        <f t="shared" si="5"/>
        <v>0.24099999999999999</v>
      </c>
      <c r="L139" s="75"/>
    </row>
    <row r="140" spans="1:12" x14ac:dyDescent="0.25">
      <c r="A140" s="58">
        <v>43502</v>
      </c>
      <c r="B140" s="57">
        <v>1</v>
      </c>
      <c r="C140" s="57">
        <v>242</v>
      </c>
      <c r="D140" s="59">
        <f t="shared" si="4"/>
        <v>585</v>
      </c>
      <c r="E140" s="60">
        <f t="shared" si="5"/>
        <v>0.24199999999999999</v>
      </c>
      <c r="L140" s="75"/>
    </row>
    <row r="141" spans="1:12" x14ac:dyDescent="0.25">
      <c r="A141" s="58">
        <v>43502</v>
      </c>
      <c r="B141" s="57">
        <v>3</v>
      </c>
      <c r="C141" s="57">
        <v>245</v>
      </c>
      <c r="D141" s="59">
        <f t="shared" si="4"/>
        <v>585</v>
      </c>
      <c r="E141" s="60">
        <f t="shared" si="5"/>
        <v>0.245</v>
      </c>
      <c r="L141" s="75"/>
    </row>
    <row r="142" spans="1:12" x14ac:dyDescent="0.25">
      <c r="A142" s="58">
        <v>43502</v>
      </c>
      <c r="B142" s="57">
        <v>3</v>
      </c>
      <c r="C142" s="57">
        <v>248</v>
      </c>
      <c r="D142" s="59">
        <f t="shared" si="4"/>
        <v>585</v>
      </c>
      <c r="E142" s="60">
        <f t="shared" si="5"/>
        <v>0.248</v>
      </c>
      <c r="L142" s="75"/>
    </row>
    <row r="143" spans="1:12" x14ac:dyDescent="0.25">
      <c r="A143" s="58">
        <v>43504</v>
      </c>
      <c r="B143" s="57">
        <v>1</v>
      </c>
      <c r="C143" s="57">
        <v>249</v>
      </c>
      <c r="D143" s="59">
        <f t="shared" si="4"/>
        <v>587</v>
      </c>
      <c r="E143" s="60">
        <f t="shared" si="5"/>
        <v>0.249</v>
      </c>
      <c r="L143" s="75"/>
    </row>
    <row r="144" spans="1:12" x14ac:dyDescent="0.25">
      <c r="A144" s="58">
        <v>43504</v>
      </c>
      <c r="B144" s="57">
        <v>1</v>
      </c>
      <c r="C144" s="57">
        <v>250</v>
      </c>
      <c r="D144" s="59">
        <f t="shared" si="4"/>
        <v>587</v>
      </c>
      <c r="E144" s="60">
        <f t="shared" si="5"/>
        <v>0.25</v>
      </c>
      <c r="L144" s="75"/>
    </row>
    <row r="145" spans="1:12" x14ac:dyDescent="0.25">
      <c r="A145" s="58">
        <v>43504</v>
      </c>
      <c r="B145" s="57">
        <v>2</v>
      </c>
      <c r="C145" s="57">
        <v>252</v>
      </c>
      <c r="D145" s="59">
        <f t="shared" si="4"/>
        <v>587</v>
      </c>
      <c r="E145" s="60">
        <f t="shared" si="5"/>
        <v>0.252</v>
      </c>
      <c r="L145" s="75"/>
    </row>
    <row r="146" spans="1:12" x14ac:dyDescent="0.25">
      <c r="A146" s="58">
        <v>43504</v>
      </c>
      <c r="B146" s="57">
        <v>2</v>
      </c>
      <c r="C146" s="57">
        <v>254</v>
      </c>
      <c r="D146" s="59">
        <f t="shared" si="4"/>
        <v>587</v>
      </c>
      <c r="E146" s="60">
        <f t="shared" si="5"/>
        <v>0.254</v>
      </c>
      <c r="L146" s="75"/>
    </row>
    <row r="147" spans="1:12" x14ac:dyDescent="0.25">
      <c r="A147" s="58">
        <v>43504</v>
      </c>
      <c r="B147" s="57">
        <v>1</v>
      </c>
      <c r="C147" s="57">
        <v>255</v>
      </c>
      <c r="D147" s="59">
        <f t="shared" si="4"/>
        <v>587</v>
      </c>
      <c r="E147" s="60">
        <f t="shared" si="5"/>
        <v>0.255</v>
      </c>
      <c r="L147" s="75"/>
    </row>
    <row r="148" spans="1:12" x14ac:dyDescent="0.25">
      <c r="A148" s="58">
        <v>43504</v>
      </c>
      <c r="B148" s="57">
        <v>1</v>
      </c>
      <c r="C148" s="57">
        <v>256</v>
      </c>
      <c r="D148" s="59">
        <f t="shared" si="4"/>
        <v>587</v>
      </c>
      <c r="E148" s="60">
        <f t="shared" si="5"/>
        <v>0.25600000000000001</v>
      </c>
      <c r="L148" s="75"/>
    </row>
    <row r="149" spans="1:12" x14ac:dyDescent="0.25">
      <c r="A149" s="58">
        <v>43504</v>
      </c>
      <c r="B149" s="57">
        <v>1</v>
      </c>
      <c r="C149" s="57">
        <v>257</v>
      </c>
      <c r="D149" s="59">
        <f t="shared" si="4"/>
        <v>587</v>
      </c>
      <c r="E149" s="60">
        <f t="shared" si="5"/>
        <v>0.25700000000000001</v>
      </c>
      <c r="L149" s="75"/>
    </row>
    <row r="150" spans="1:12" x14ac:dyDescent="0.25">
      <c r="A150" s="58">
        <v>43504</v>
      </c>
      <c r="B150" s="57">
        <v>1</v>
      </c>
      <c r="C150" s="57">
        <v>258</v>
      </c>
      <c r="D150" s="59">
        <f t="shared" si="4"/>
        <v>587</v>
      </c>
      <c r="E150" s="60">
        <f t="shared" si="5"/>
        <v>0.25800000000000001</v>
      </c>
      <c r="L150" s="75"/>
    </row>
    <row r="151" spans="1:12" x14ac:dyDescent="0.25">
      <c r="A151" s="58">
        <v>43504</v>
      </c>
      <c r="B151" s="57">
        <v>3</v>
      </c>
      <c r="C151" s="57">
        <v>261</v>
      </c>
      <c r="D151" s="59">
        <f t="shared" si="4"/>
        <v>587</v>
      </c>
      <c r="E151" s="60">
        <f t="shared" si="5"/>
        <v>0.26100000000000001</v>
      </c>
      <c r="L151" s="75"/>
    </row>
    <row r="152" spans="1:12" x14ac:dyDescent="0.25">
      <c r="A152" s="58">
        <v>43504</v>
      </c>
      <c r="B152" s="57">
        <v>1</v>
      </c>
      <c r="C152" s="57">
        <v>262</v>
      </c>
      <c r="D152" s="59">
        <f t="shared" si="4"/>
        <v>587</v>
      </c>
      <c r="E152" s="60">
        <f t="shared" si="5"/>
        <v>0.26200000000000001</v>
      </c>
      <c r="L152" s="75"/>
    </row>
    <row r="153" spans="1:12" x14ac:dyDescent="0.25">
      <c r="A153" s="58">
        <v>43504</v>
      </c>
      <c r="B153" s="57">
        <v>1</v>
      </c>
      <c r="C153" s="57">
        <v>263</v>
      </c>
      <c r="D153" s="59">
        <f t="shared" si="4"/>
        <v>587</v>
      </c>
      <c r="E153" s="60">
        <f t="shared" si="5"/>
        <v>0.26300000000000001</v>
      </c>
      <c r="L153" s="75"/>
    </row>
    <row r="154" spans="1:12" x14ac:dyDescent="0.25">
      <c r="A154" s="58">
        <v>43506</v>
      </c>
      <c r="B154" s="57">
        <v>4</v>
      </c>
      <c r="C154" s="57">
        <v>267</v>
      </c>
      <c r="D154" s="59">
        <f t="shared" si="4"/>
        <v>589</v>
      </c>
      <c r="E154" s="60">
        <f t="shared" si="5"/>
        <v>0.26700000000000002</v>
      </c>
      <c r="L154" s="75"/>
    </row>
    <row r="155" spans="1:12" x14ac:dyDescent="0.25">
      <c r="A155" s="58">
        <v>43506</v>
      </c>
      <c r="B155" s="57">
        <v>3</v>
      </c>
      <c r="C155" s="57">
        <v>270</v>
      </c>
      <c r="D155" s="59">
        <f t="shared" si="4"/>
        <v>589</v>
      </c>
      <c r="E155" s="60">
        <f t="shared" si="5"/>
        <v>0.27</v>
      </c>
      <c r="L155" s="75"/>
    </row>
    <row r="156" spans="1:12" x14ac:dyDescent="0.25">
      <c r="A156" s="58">
        <v>43506</v>
      </c>
      <c r="B156" s="57">
        <v>1</v>
      </c>
      <c r="C156" s="57">
        <v>271</v>
      </c>
      <c r="D156" s="59">
        <f t="shared" si="4"/>
        <v>589</v>
      </c>
      <c r="E156" s="60">
        <f t="shared" si="5"/>
        <v>0.27100000000000002</v>
      </c>
      <c r="L156" s="75"/>
    </row>
    <row r="157" spans="1:12" x14ac:dyDescent="0.25">
      <c r="A157" s="58">
        <v>43508</v>
      </c>
      <c r="B157" s="57">
        <v>2</v>
      </c>
      <c r="C157" s="57">
        <v>273</v>
      </c>
      <c r="D157" s="59">
        <f t="shared" si="4"/>
        <v>591</v>
      </c>
      <c r="E157" s="60">
        <f t="shared" si="5"/>
        <v>0.27300000000000002</v>
      </c>
      <c r="L157" s="75"/>
    </row>
    <row r="158" spans="1:12" x14ac:dyDescent="0.25">
      <c r="A158" s="58">
        <v>43508</v>
      </c>
      <c r="B158" s="57">
        <v>2</v>
      </c>
      <c r="C158" s="57">
        <v>275</v>
      </c>
      <c r="D158" s="59">
        <f t="shared" si="4"/>
        <v>591</v>
      </c>
      <c r="E158" s="60">
        <f t="shared" si="5"/>
        <v>0.27500000000000002</v>
      </c>
      <c r="L158" s="75"/>
    </row>
    <row r="159" spans="1:12" x14ac:dyDescent="0.25">
      <c r="A159" s="58">
        <v>43508</v>
      </c>
      <c r="B159" s="57">
        <v>4</v>
      </c>
      <c r="C159" s="57">
        <v>279</v>
      </c>
      <c r="D159" s="59">
        <f t="shared" si="4"/>
        <v>591</v>
      </c>
      <c r="E159" s="60">
        <f t="shared" si="5"/>
        <v>0.27900000000000003</v>
      </c>
      <c r="L159" s="75"/>
    </row>
    <row r="160" spans="1:12" x14ac:dyDescent="0.25">
      <c r="A160" s="58">
        <v>43508</v>
      </c>
      <c r="B160" s="57">
        <v>4</v>
      </c>
      <c r="C160" s="57">
        <v>283</v>
      </c>
      <c r="D160" s="59">
        <f t="shared" si="4"/>
        <v>591</v>
      </c>
      <c r="E160" s="60">
        <f t="shared" si="5"/>
        <v>0.28299999999999997</v>
      </c>
      <c r="L160" s="75"/>
    </row>
    <row r="161" spans="1:12" x14ac:dyDescent="0.25">
      <c r="A161" s="58">
        <v>43508</v>
      </c>
      <c r="B161" s="57">
        <v>5</v>
      </c>
      <c r="C161" s="57">
        <v>288</v>
      </c>
      <c r="D161" s="59">
        <f t="shared" si="4"/>
        <v>591</v>
      </c>
      <c r="E161" s="60">
        <f t="shared" si="5"/>
        <v>0.28799999999999998</v>
      </c>
      <c r="L161" s="75"/>
    </row>
    <row r="162" spans="1:12" x14ac:dyDescent="0.25">
      <c r="A162" s="58">
        <v>43508</v>
      </c>
      <c r="B162" s="57">
        <v>2</v>
      </c>
      <c r="C162" s="57">
        <v>290</v>
      </c>
      <c r="D162" s="59">
        <f t="shared" si="4"/>
        <v>591</v>
      </c>
      <c r="E162" s="60">
        <f t="shared" si="5"/>
        <v>0.28999999999999998</v>
      </c>
      <c r="L162" s="75"/>
    </row>
    <row r="163" spans="1:12" x14ac:dyDescent="0.25">
      <c r="A163" s="58">
        <v>43508</v>
      </c>
      <c r="B163" s="57">
        <v>4</v>
      </c>
      <c r="C163" s="57">
        <v>294</v>
      </c>
      <c r="D163" s="59">
        <f t="shared" si="4"/>
        <v>591</v>
      </c>
      <c r="E163" s="60">
        <f t="shared" si="5"/>
        <v>0.29399999999999998</v>
      </c>
      <c r="L163" s="75"/>
    </row>
    <row r="164" spans="1:12" x14ac:dyDescent="0.25">
      <c r="A164" s="58">
        <v>43508</v>
      </c>
      <c r="B164" s="57">
        <v>3</v>
      </c>
      <c r="C164" s="57">
        <v>297</v>
      </c>
      <c r="D164" s="59">
        <f t="shared" si="4"/>
        <v>591</v>
      </c>
      <c r="E164" s="60">
        <f t="shared" si="5"/>
        <v>0.29699999999999999</v>
      </c>
      <c r="L164" s="75"/>
    </row>
    <row r="165" spans="1:12" x14ac:dyDescent="0.25">
      <c r="A165" s="58">
        <v>43508</v>
      </c>
      <c r="B165" s="57">
        <v>3</v>
      </c>
      <c r="C165" s="57">
        <v>300</v>
      </c>
      <c r="D165" s="59">
        <f t="shared" si="4"/>
        <v>591</v>
      </c>
      <c r="E165" s="60">
        <f t="shared" si="5"/>
        <v>0.3</v>
      </c>
      <c r="L165" s="75"/>
    </row>
    <row r="166" spans="1:12" x14ac:dyDescent="0.25">
      <c r="A166" s="58">
        <v>43508</v>
      </c>
      <c r="B166" s="57">
        <v>2</v>
      </c>
      <c r="C166" s="57">
        <v>302</v>
      </c>
      <c r="D166" s="59">
        <f t="shared" si="4"/>
        <v>591</v>
      </c>
      <c r="E166" s="60">
        <f t="shared" si="5"/>
        <v>0.30199999999999999</v>
      </c>
      <c r="L166" s="75"/>
    </row>
    <row r="167" spans="1:12" x14ac:dyDescent="0.25">
      <c r="A167" s="58">
        <v>43508</v>
      </c>
      <c r="B167" s="57">
        <v>1</v>
      </c>
      <c r="C167" s="57">
        <v>303</v>
      </c>
      <c r="D167" s="59">
        <f t="shared" si="4"/>
        <v>591</v>
      </c>
      <c r="E167" s="60">
        <f t="shared" si="5"/>
        <v>0.30299999999999999</v>
      </c>
      <c r="L167" s="75"/>
    </row>
    <row r="168" spans="1:12" x14ac:dyDescent="0.25">
      <c r="A168" s="58">
        <v>43510</v>
      </c>
      <c r="B168" s="57">
        <v>5</v>
      </c>
      <c r="C168" s="57">
        <v>308</v>
      </c>
      <c r="D168" s="59">
        <f t="shared" si="4"/>
        <v>593</v>
      </c>
      <c r="E168" s="60">
        <f t="shared" si="5"/>
        <v>0.308</v>
      </c>
      <c r="L168" s="75"/>
    </row>
    <row r="169" spans="1:12" x14ac:dyDescent="0.25">
      <c r="A169" s="58">
        <v>43510</v>
      </c>
      <c r="B169" s="57">
        <v>3</v>
      </c>
      <c r="C169" s="57">
        <v>311</v>
      </c>
      <c r="D169" s="59">
        <f t="shared" si="4"/>
        <v>593</v>
      </c>
      <c r="E169" s="60">
        <f t="shared" si="5"/>
        <v>0.311</v>
      </c>
      <c r="L169" s="75"/>
    </row>
    <row r="170" spans="1:12" x14ac:dyDescent="0.25">
      <c r="A170" s="58">
        <v>43510</v>
      </c>
      <c r="B170" s="57">
        <v>4</v>
      </c>
      <c r="C170" s="57">
        <v>315</v>
      </c>
      <c r="D170" s="59">
        <f t="shared" si="4"/>
        <v>593</v>
      </c>
      <c r="E170" s="60">
        <f t="shared" si="5"/>
        <v>0.315</v>
      </c>
      <c r="L170" s="75"/>
    </row>
    <row r="171" spans="1:12" x14ac:dyDescent="0.25">
      <c r="A171" s="58">
        <v>43510</v>
      </c>
      <c r="B171" s="57">
        <v>3</v>
      </c>
      <c r="C171" s="57">
        <v>318</v>
      </c>
      <c r="D171" s="59">
        <f t="shared" si="4"/>
        <v>593</v>
      </c>
      <c r="E171" s="60">
        <f t="shared" si="5"/>
        <v>0.318</v>
      </c>
      <c r="L171" s="75"/>
    </row>
    <row r="172" spans="1:12" x14ac:dyDescent="0.25">
      <c r="A172" s="58">
        <v>43510</v>
      </c>
      <c r="B172" s="57">
        <v>3</v>
      </c>
      <c r="C172" s="57">
        <v>321</v>
      </c>
      <c r="D172" s="59">
        <f t="shared" si="4"/>
        <v>593</v>
      </c>
      <c r="E172" s="60">
        <f t="shared" si="5"/>
        <v>0.32100000000000001</v>
      </c>
      <c r="L172" s="75"/>
    </row>
    <row r="173" spans="1:12" x14ac:dyDescent="0.25">
      <c r="A173" s="58">
        <v>43510</v>
      </c>
      <c r="B173" s="57">
        <v>3</v>
      </c>
      <c r="C173" s="57">
        <v>324</v>
      </c>
      <c r="D173" s="59">
        <f t="shared" si="4"/>
        <v>593</v>
      </c>
      <c r="E173" s="60">
        <f t="shared" si="5"/>
        <v>0.32400000000000001</v>
      </c>
      <c r="L173" s="75"/>
    </row>
    <row r="174" spans="1:12" x14ac:dyDescent="0.25">
      <c r="A174" s="58">
        <v>43510</v>
      </c>
      <c r="B174" s="57">
        <v>2</v>
      </c>
      <c r="C174" s="57">
        <v>326</v>
      </c>
      <c r="D174" s="59">
        <f t="shared" si="4"/>
        <v>593</v>
      </c>
      <c r="E174" s="60">
        <f t="shared" si="5"/>
        <v>0.32600000000000001</v>
      </c>
      <c r="L174" s="75"/>
    </row>
    <row r="175" spans="1:12" x14ac:dyDescent="0.25">
      <c r="A175" s="58">
        <v>43510</v>
      </c>
      <c r="B175" s="57">
        <v>3</v>
      </c>
      <c r="C175" s="57">
        <v>329</v>
      </c>
      <c r="D175" s="59">
        <f t="shared" si="4"/>
        <v>593</v>
      </c>
      <c r="E175" s="60">
        <f t="shared" si="5"/>
        <v>0.32900000000000001</v>
      </c>
      <c r="L175" s="75"/>
    </row>
    <row r="176" spans="1:12" x14ac:dyDescent="0.25">
      <c r="A176" s="58">
        <v>43510</v>
      </c>
      <c r="B176" s="57">
        <v>2</v>
      </c>
      <c r="C176" s="57">
        <v>331</v>
      </c>
      <c r="D176" s="59">
        <f t="shared" si="4"/>
        <v>593</v>
      </c>
      <c r="E176" s="60">
        <f t="shared" si="5"/>
        <v>0.33100000000000002</v>
      </c>
      <c r="L176" s="75"/>
    </row>
    <row r="177" spans="1:12" x14ac:dyDescent="0.25">
      <c r="A177" s="58">
        <v>43510</v>
      </c>
      <c r="B177" s="57">
        <v>5</v>
      </c>
      <c r="C177" s="57">
        <v>336</v>
      </c>
      <c r="D177" s="59">
        <f t="shared" si="4"/>
        <v>593</v>
      </c>
      <c r="E177" s="60">
        <f t="shared" si="5"/>
        <v>0.33600000000000002</v>
      </c>
      <c r="L177" s="75"/>
    </row>
    <row r="178" spans="1:12" x14ac:dyDescent="0.25">
      <c r="A178" s="58">
        <v>43510</v>
      </c>
      <c r="B178" s="57">
        <v>3</v>
      </c>
      <c r="C178" s="57">
        <v>339</v>
      </c>
      <c r="D178" s="59">
        <f t="shared" si="4"/>
        <v>593</v>
      </c>
      <c r="E178" s="60">
        <f t="shared" si="5"/>
        <v>0.33900000000000002</v>
      </c>
      <c r="L178" s="75"/>
    </row>
    <row r="179" spans="1:12" x14ac:dyDescent="0.25">
      <c r="A179" s="58">
        <v>43512</v>
      </c>
      <c r="B179" s="57">
        <v>3</v>
      </c>
      <c r="C179" s="57">
        <v>342</v>
      </c>
      <c r="D179" s="59">
        <f t="shared" si="4"/>
        <v>595</v>
      </c>
      <c r="E179" s="60">
        <f t="shared" si="5"/>
        <v>0.34200000000000003</v>
      </c>
      <c r="L179" s="75"/>
    </row>
    <row r="180" spans="1:12" x14ac:dyDescent="0.25">
      <c r="A180" s="58">
        <v>43512</v>
      </c>
      <c r="B180" s="57">
        <v>4</v>
      </c>
      <c r="C180" s="57">
        <v>346</v>
      </c>
      <c r="D180" s="59">
        <f t="shared" si="4"/>
        <v>595</v>
      </c>
      <c r="E180" s="60">
        <f t="shared" si="5"/>
        <v>0.34599999999999997</v>
      </c>
      <c r="L180" s="75"/>
    </row>
    <row r="181" spans="1:12" x14ac:dyDescent="0.25">
      <c r="A181" s="58">
        <v>43512</v>
      </c>
      <c r="B181" s="57">
        <v>3</v>
      </c>
      <c r="C181" s="57">
        <v>349</v>
      </c>
      <c r="D181" s="59">
        <f t="shared" si="4"/>
        <v>595</v>
      </c>
      <c r="E181" s="60">
        <f t="shared" si="5"/>
        <v>0.34899999999999998</v>
      </c>
      <c r="L181" s="75"/>
    </row>
    <row r="182" spans="1:12" x14ac:dyDescent="0.25">
      <c r="A182" s="58">
        <v>43512</v>
      </c>
      <c r="B182" s="57">
        <v>6</v>
      </c>
      <c r="C182" s="57">
        <v>355</v>
      </c>
      <c r="D182" s="59">
        <f t="shared" si="4"/>
        <v>595</v>
      </c>
      <c r="E182" s="60">
        <f t="shared" si="5"/>
        <v>0.35499999999999998</v>
      </c>
      <c r="L182" s="75"/>
    </row>
    <row r="183" spans="1:12" x14ac:dyDescent="0.25">
      <c r="A183" s="58">
        <v>43512</v>
      </c>
      <c r="B183" s="57">
        <v>1</v>
      </c>
      <c r="C183" s="57">
        <v>356</v>
      </c>
      <c r="D183" s="59">
        <f t="shared" si="4"/>
        <v>595</v>
      </c>
      <c r="E183" s="60">
        <f t="shared" si="5"/>
        <v>0.35599999999999998</v>
      </c>
      <c r="L183" s="75"/>
    </row>
    <row r="184" spans="1:12" x14ac:dyDescent="0.25">
      <c r="A184" s="58">
        <v>43512</v>
      </c>
      <c r="B184" s="57">
        <v>4</v>
      </c>
      <c r="C184" s="57">
        <v>360</v>
      </c>
      <c r="D184" s="59">
        <f t="shared" si="4"/>
        <v>595</v>
      </c>
      <c r="E184" s="60">
        <f t="shared" si="5"/>
        <v>0.36</v>
      </c>
      <c r="L184" s="75"/>
    </row>
    <row r="185" spans="1:12" x14ac:dyDescent="0.25">
      <c r="A185" s="58">
        <v>43512</v>
      </c>
      <c r="B185" s="57">
        <v>2</v>
      </c>
      <c r="C185" s="57">
        <v>362</v>
      </c>
      <c r="D185" s="59">
        <f t="shared" si="4"/>
        <v>595</v>
      </c>
      <c r="E185" s="60">
        <f t="shared" si="5"/>
        <v>0.36199999999999999</v>
      </c>
      <c r="L185" s="75"/>
    </row>
    <row r="186" spans="1:12" x14ac:dyDescent="0.25">
      <c r="A186" s="58">
        <v>43512</v>
      </c>
      <c r="B186" s="57">
        <v>2</v>
      </c>
      <c r="C186" s="57">
        <v>364</v>
      </c>
      <c r="D186" s="59">
        <f t="shared" si="4"/>
        <v>595</v>
      </c>
      <c r="E186" s="60">
        <f t="shared" si="5"/>
        <v>0.36399999999999999</v>
      </c>
      <c r="L186" s="75"/>
    </row>
    <row r="187" spans="1:12" x14ac:dyDescent="0.25">
      <c r="A187" s="58">
        <v>43512</v>
      </c>
      <c r="B187" s="57">
        <v>3</v>
      </c>
      <c r="C187" s="57">
        <v>367</v>
      </c>
      <c r="D187" s="59">
        <f t="shared" si="4"/>
        <v>595</v>
      </c>
      <c r="E187" s="60">
        <f t="shared" si="5"/>
        <v>0.36699999999999999</v>
      </c>
      <c r="L187" s="75"/>
    </row>
    <row r="188" spans="1:12" x14ac:dyDescent="0.25">
      <c r="A188" s="58">
        <v>43518</v>
      </c>
      <c r="B188" s="57">
        <v>3</v>
      </c>
      <c r="C188" s="57">
        <v>370</v>
      </c>
      <c r="D188" s="59">
        <f t="shared" si="4"/>
        <v>601</v>
      </c>
      <c r="E188" s="60">
        <f t="shared" si="5"/>
        <v>0.37</v>
      </c>
      <c r="L188" s="75"/>
    </row>
    <row r="189" spans="1:12" x14ac:dyDescent="0.25">
      <c r="A189" s="58">
        <v>43518</v>
      </c>
      <c r="B189" s="57">
        <v>2</v>
      </c>
      <c r="C189" s="57">
        <v>372</v>
      </c>
      <c r="D189" s="59">
        <f t="shared" si="4"/>
        <v>601</v>
      </c>
      <c r="E189" s="60">
        <f t="shared" si="5"/>
        <v>0.372</v>
      </c>
      <c r="L189" s="75"/>
    </row>
    <row r="190" spans="1:12" x14ac:dyDescent="0.25">
      <c r="A190" s="58">
        <v>43518</v>
      </c>
      <c r="B190" s="57">
        <v>1</v>
      </c>
      <c r="C190" s="57">
        <v>373</v>
      </c>
      <c r="D190" s="59">
        <f t="shared" si="4"/>
        <v>601</v>
      </c>
      <c r="E190" s="60">
        <f t="shared" si="5"/>
        <v>0.373</v>
      </c>
      <c r="L190" s="75"/>
    </row>
    <row r="191" spans="1:12" x14ac:dyDescent="0.25">
      <c r="A191" s="58">
        <v>43518</v>
      </c>
      <c r="B191" s="57">
        <v>2</v>
      </c>
      <c r="C191" s="57">
        <v>375</v>
      </c>
      <c r="D191" s="59">
        <f t="shared" si="4"/>
        <v>601</v>
      </c>
      <c r="E191" s="60">
        <f t="shared" si="5"/>
        <v>0.375</v>
      </c>
      <c r="L191" s="75"/>
    </row>
    <row r="192" spans="1:12" x14ac:dyDescent="0.25">
      <c r="A192" s="58">
        <v>43518</v>
      </c>
      <c r="B192" s="57">
        <v>2</v>
      </c>
      <c r="C192" s="57">
        <v>377</v>
      </c>
      <c r="D192" s="59">
        <f t="shared" si="4"/>
        <v>601</v>
      </c>
      <c r="E192" s="60">
        <f t="shared" si="5"/>
        <v>0.377</v>
      </c>
      <c r="L192" s="75"/>
    </row>
    <row r="193" spans="1:12" x14ac:dyDescent="0.25">
      <c r="A193" s="58">
        <v>43518</v>
      </c>
      <c r="B193" s="57">
        <v>2</v>
      </c>
      <c r="C193" s="57">
        <v>379</v>
      </c>
      <c r="D193" s="59">
        <f t="shared" si="4"/>
        <v>601</v>
      </c>
      <c r="E193" s="60">
        <f t="shared" si="5"/>
        <v>0.379</v>
      </c>
      <c r="L193" s="75"/>
    </row>
    <row r="194" spans="1:12" x14ac:dyDescent="0.25">
      <c r="A194" s="58">
        <v>43518</v>
      </c>
      <c r="B194" s="57">
        <v>2</v>
      </c>
      <c r="C194" s="57">
        <v>381</v>
      </c>
      <c r="D194" s="59">
        <f t="shared" si="4"/>
        <v>601</v>
      </c>
      <c r="E194" s="60">
        <f t="shared" si="5"/>
        <v>0.38100000000000001</v>
      </c>
      <c r="L194" s="75"/>
    </row>
    <row r="195" spans="1:12" x14ac:dyDescent="0.25">
      <c r="A195" s="58">
        <v>43518</v>
      </c>
      <c r="B195" s="57">
        <v>6</v>
      </c>
      <c r="C195" s="57">
        <v>387</v>
      </c>
      <c r="D195" s="59">
        <f t="shared" ref="D195:D258" si="6">A195-$I$3</f>
        <v>601</v>
      </c>
      <c r="E195" s="60">
        <f t="shared" ref="E195:E258" si="7">C195/MAX(C:C)</f>
        <v>0.38700000000000001</v>
      </c>
      <c r="L195" s="75"/>
    </row>
    <row r="196" spans="1:12" x14ac:dyDescent="0.25">
      <c r="A196" s="58">
        <v>43518</v>
      </c>
      <c r="B196" s="57">
        <v>3</v>
      </c>
      <c r="C196" s="57">
        <v>390</v>
      </c>
      <c r="D196" s="59">
        <f t="shared" si="6"/>
        <v>601</v>
      </c>
      <c r="E196" s="60">
        <f t="shared" si="7"/>
        <v>0.39</v>
      </c>
      <c r="L196" s="75"/>
    </row>
    <row r="197" spans="1:12" x14ac:dyDescent="0.25">
      <c r="A197" s="58">
        <v>43518</v>
      </c>
      <c r="B197" s="57">
        <v>2</v>
      </c>
      <c r="C197" s="57">
        <v>392</v>
      </c>
      <c r="D197" s="59">
        <f t="shared" si="6"/>
        <v>601</v>
      </c>
      <c r="E197" s="60">
        <f t="shared" si="7"/>
        <v>0.39200000000000002</v>
      </c>
      <c r="L197" s="75"/>
    </row>
    <row r="198" spans="1:12" x14ac:dyDescent="0.25">
      <c r="A198" s="58">
        <v>43518</v>
      </c>
      <c r="B198" s="57">
        <v>3</v>
      </c>
      <c r="C198" s="57">
        <v>395</v>
      </c>
      <c r="D198" s="59">
        <f t="shared" si="6"/>
        <v>601</v>
      </c>
      <c r="E198" s="60">
        <f t="shared" si="7"/>
        <v>0.39500000000000002</v>
      </c>
      <c r="L198" s="75"/>
    </row>
    <row r="199" spans="1:12" x14ac:dyDescent="0.25">
      <c r="A199" s="58">
        <v>43520</v>
      </c>
      <c r="B199" s="57">
        <v>3</v>
      </c>
      <c r="C199" s="57">
        <v>398</v>
      </c>
      <c r="D199" s="59">
        <f t="shared" si="6"/>
        <v>603</v>
      </c>
      <c r="E199" s="60">
        <f t="shared" si="7"/>
        <v>0.39800000000000002</v>
      </c>
      <c r="L199" s="75"/>
    </row>
    <row r="200" spans="1:12" x14ac:dyDescent="0.25">
      <c r="A200" s="58">
        <v>43520</v>
      </c>
      <c r="B200" s="57">
        <v>1</v>
      </c>
      <c r="C200" s="57">
        <v>399</v>
      </c>
      <c r="D200" s="59">
        <f t="shared" si="6"/>
        <v>603</v>
      </c>
      <c r="E200" s="60">
        <f t="shared" si="7"/>
        <v>0.39900000000000002</v>
      </c>
      <c r="L200" s="75"/>
    </row>
    <row r="201" spans="1:12" x14ac:dyDescent="0.25">
      <c r="A201" s="58">
        <v>43520</v>
      </c>
      <c r="B201" s="57">
        <v>1</v>
      </c>
      <c r="C201" s="57">
        <v>400</v>
      </c>
      <c r="D201" s="59">
        <f t="shared" si="6"/>
        <v>603</v>
      </c>
      <c r="E201" s="60">
        <f t="shared" si="7"/>
        <v>0.4</v>
      </c>
      <c r="L201" s="75"/>
    </row>
    <row r="202" spans="1:12" x14ac:dyDescent="0.25">
      <c r="A202" s="58">
        <v>43520</v>
      </c>
      <c r="B202" s="57">
        <v>6</v>
      </c>
      <c r="C202" s="57">
        <v>406</v>
      </c>
      <c r="D202" s="59">
        <f t="shared" si="6"/>
        <v>603</v>
      </c>
      <c r="E202" s="60">
        <f t="shared" si="7"/>
        <v>0.40600000000000003</v>
      </c>
      <c r="L202" s="75"/>
    </row>
    <row r="203" spans="1:12" x14ac:dyDescent="0.25">
      <c r="A203" s="58">
        <v>43520</v>
      </c>
      <c r="B203" s="57">
        <v>3</v>
      </c>
      <c r="C203" s="57">
        <v>409</v>
      </c>
      <c r="D203" s="59">
        <f t="shared" si="6"/>
        <v>603</v>
      </c>
      <c r="E203" s="60">
        <f t="shared" si="7"/>
        <v>0.40899999999999997</v>
      </c>
      <c r="L203" s="75"/>
    </row>
    <row r="204" spans="1:12" x14ac:dyDescent="0.25">
      <c r="A204" s="58">
        <v>43520</v>
      </c>
      <c r="B204" s="57">
        <v>2</v>
      </c>
      <c r="C204" s="57">
        <v>411</v>
      </c>
      <c r="D204" s="59">
        <f t="shared" si="6"/>
        <v>603</v>
      </c>
      <c r="E204" s="60">
        <f t="shared" si="7"/>
        <v>0.41099999999999998</v>
      </c>
      <c r="L204" s="75"/>
    </row>
    <row r="205" spans="1:12" x14ac:dyDescent="0.25">
      <c r="A205" s="58">
        <v>43520</v>
      </c>
      <c r="B205" s="57">
        <v>2</v>
      </c>
      <c r="C205" s="57">
        <v>413</v>
      </c>
      <c r="D205" s="59">
        <f t="shared" si="6"/>
        <v>603</v>
      </c>
      <c r="E205" s="60">
        <f t="shared" si="7"/>
        <v>0.41299999999999998</v>
      </c>
      <c r="L205" s="75"/>
    </row>
    <row r="206" spans="1:12" x14ac:dyDescent="0.25">
      <c r="A206" s="58">
        <v>43520</v>
      </c>
      <c r="B206" s="57">
        <v>1</v>
      </c>
      <c r="C206" s="57">
        <v>414</v>
      </c>
      <c r="D206" s="59">
        <f t="shared" si="6"/>
        <v>603</v>
      </c>
      <c r="E206" s="60">
        <f t="shared" si="7"/>
        <v>0.41399999999999998</v>
      </c>
      <c r="L206" s="75"/>
    </row>
    <row r="207" spans="1:12" x14ac:dyDescent="0.25">
      <c r="A207" s="58">
        <v>43520</v>
      </c>
      <c r="B207" s="57">
        <v>3</v>
      </c>
      <c r="C207" s="57">
        <v>417</v>
      </c>
      <c r="D207" s="59">
        <f t="shared" si="6"/>
        <v>603</v>
      </c>
      <c r="E207" s="60">
        <f t="shared" si="7"/>
        <v>0.41699999999999998</v>
      </c>
      <c r="L207" s="75"/>
    </row>
    <row r="208" spans="1:12" x14ac:dyDescent="0.25">
      <c r="A208" s="58">
        <v>43522</v>
      </c>
      <c r="B208" s="57">
        <v>1</v>
      </c>
      <c r="C208" s="57">
        <v>418</v>
      </c>
      <c r="D208" s="59">
        <f t="shared" si="6"/>
        <v>605</v>
      </c>
      <c r="E208" s="60">
        <f t="shared" si="7"/>
        <v>0.41799999999999998</v>
      </c>
      <c r="L208" s="75"/>
    </row>
    <row r="209" spans="1:12" x14ac:dyDescent="0.25">
      <c r="A209" s="58">
        <v>43522</v>
      </c>
      <c r="B209" s="57">
        <v>6</v>
      </c>
      <c r="C209" s="57">
        <v>424</v>
      </c>
      <c r="D209" s="59">
        <f t="shared" si="6"/>
        <v>605</v>
      </c>
      <c r="E209" s="60">
        <f t="shared" si="7"/>
        <v>0.42399999999999999</v>
      </c>
      <c r="L209" s="75"/>
    </row>
    <row r="210" spans="1:12" x14ac:dyDescent="0.25">
      <c r="A210" s="58">
        <v>43522</v>
      </c>
      <c r="B210" s="57">
        <v>4</v>
      </c>
      <c r="C210" s="57">
        <v>428</v>
      </c>
      <c r="D210" s="59">
        <f t="shared" si="6"/>
        <v>605</v>
      </c>
      <c r="E210" s="60">
        <f t="shared" si="7"/>
        <v>0.42799999999999999</v>
      </c>
      <c r="L210" s="75"/>
    </row>
    <row r="211" spans="1:12" x14ac:dyDescent="0.25">
      <c r="A211" s="58">
        <v>43522</v>
      </c>
      <c r="B211" s="57">
        <v>3</v>
      </c>
      <c r="C211" s="57">
        <v>431</v>
      </c>
      <c r="D211" s="59">
        <f t="shared" si="6"/>
        <v>605</v>
      </c>
      <c r="E211" s="60">
        <f t="shared" si="7"/>
        <v>0.43099999999999999</v>
      </c>
      <c r="L211" s="75"/>
    </row>
    <row r="212" spans="1:12" x14ac:dyDescent="0.25">
      <c r="A212" s="58">
        <v>43522</v>
      </c>
      <c r="B212" s="57">
        <v>5</v>
      </c>
      <c r="C212" s="57">
        <v>436</v>
      </c>
      <c r="D212" s="59">
        <f t="shared" si="6"/>
        <v>605</v>
      </c>
      <c r="E212" s="60">
        <f t="shared" si="7"/>
        <v>0.436</v>
      </c>
      <c r="L212" s="75"/>
    </row>
    <row r="213" spans="1:12" x14ac:dyDescent="0.25">
      <c r="A213" s="58">
        <v>43522</v>
      </c>
      <c r="B213" s="57">
        <v>2</v>
      </c>
      <c r="C213" s="57">
        <v>438</v>
      </c>
      <c r="D213" s="59">
        <f t="shared" si="6"/>
        <v>605</v>
      </c>
      <c r="E213" s="60">
        <f t="shared" si="7"/>
        <v>0.438</v>
      </c>
      <c r="L213" s="75"/>
    </row>
    <row r="214" spans="1:12" x14ac:dyDescent="0.25">
      <c r="A214" s="58">
        <v>43522</v>
      </c>
      <c r="B214" s="57">
        <v>3</v>
      </c>
      <c r="C214" s="57">
        <v>441</v>
      </c>
      <c r="D214" s="59">
        <f t="shared" si="6"/>
        <v>605</v>
      </c>
      <c r="E214" s="60">
        <f t="shared" si="7"/>
        <v>0.441</v>
      </c>
      <c r="L214" s="75"/>
    </row>
    <row r="215" spans="1:12" x14ac:dyDescent="0.25">
      <c r="A215" s="58">
        <v>43522</v>
      </c>
      <c r="B215" s="57">
        <v>4</v>
      </c>
      <c r="C215" s="57">
        <v>445</v>
      </c>
      <c r="D215" s="59">
        <f t="shared" si="6"/>
        <v>605</v>
      </c>
      <c r="E215" s="60">
        <f t="shared" si="7"/>
        <v>0.44500000000000001</v>
      </c>
      <c r="L215" s="75"/>
    </row>
    <row r="216" spans="1:12" x14ac:dyDescent="0.25">
      <c r="A216" s="58">
        <v>43522</v>
      </c>
      <c r="B216" s="57">
        <v>2</v>
      </c>
      <c r="C216" s="57">
        <v>447</v>
      </c>
      <c r="D216" s="59">
        <f t="shared" si="6"/>
        <v>605</v>
      </c>
      <c r="E216" s="60">
        <f t="shared" si="7"/>
        <v>0.44700000000000001</v>
      </c>
      <c r="L216" s="75"/>
    </row>
    <row r="217" spans="1:12" x14ac:dyDescent="0.25">
      <c r="A217" s="58">
        <v>43522</v>
      </c>
      <c r="B217" s="57">
        <v>3</v>
      </c>
      <c r="C217" s="57">
        <v>450</v>
      </c>
      <c r="D217" s="59">
        <f t="shared" si="6"/>
        <v>605</v>
      </c>
      <c r="E217" s="60">
        <f t="shared" si="7"/>
        <v>0.45</v>
      </c>
      <c r="L217" s="75"/>
    </row>
    <row r="218" spans="1:12" x14ac:dyDescent="0.25">
      <c r="A218" s="58">
        <v>43522</v>
      </c>
      <c r="B218" s="57">
        <v>1</v>
      </c>
      <c r="C218" s="57">
        <v>451</v>
      </c>
      <c r="D218" s="59">
        <f t="shared" si="6"/>
        <v>605</v>
      </c>
      <c r="E218" s="60">
        <f t="shared" si="7"/>
        <v>0.45100000000000001</v>
      </c>
      <c r="L218" s="75"/>
    </row>
    <row r="219" spans="1:12" x14ac:dyDescent="0.25">
      <c r="A219" s="58">
        <v>43524</v>
      </c>
      <c r="B219" s="57">
        <v>4</v>
      </c>
      <c r="C219" s="57">
        <v>455</v>
      </c>
      <c r="D219" s="59">
        <f t="shared" si="6"/>
        <v>607</v>
      </c>
      <c r="E219" s="60">
        <f t="shared" si="7"/>
        <v>0.45500000000000002</v>
      </c>
      <c r="L219" s="75"/>
    </row>
    <row r="220" spans="1:12" x14ac:dyDescent="0.25">
      <c r="A220" s="58">
        <v>43524</v>
      </c>
      <c r="B220" s="57">
        <v>2</v>
      </c>
      <c r="C220" s="57">
        <v>457</v>
      </c>
      <c r="D220" s="59">
        <f t="shared" si="6"/>
        <v>607</v>
      </c>
      <c r="E220" s="60">
        <f t="shared" si="7"/>
        <v>0.45700000000000002</v>
      </c>
      <c r="L220" s="75"/>
    </row>
    <row r="221" spans="1:12" x14ac:dyDescent="0.25">
      <c r="A221" s="58">
        <v>43524</v>
      </c>
      <c r="B221" s="57">
        <v>6</v>
      </c>
      <c r="C221" s="57">
        <v>463</v>
      </c>
      <c r="D221" s="59">
        <f t="shared" si="6"/>
        <v>607</v>
      </c>
      <c r="E221" s="60">
        <f t="shared" si="7"/>
        <v>0.46300000000000002</v>
      </c>
      <c r="L221" s="75"/>
    </row>
    <row r="222" spans="1:12" x14ac:dyDescent="0.25">
      <c r="A222" s="58">
        <v>43524</v>
      </c>
      <c r="B222" s="57">
        <v>3</v>
      </c>
      <c r="C222" s="57">
        <v>466</v>
      </c>
      <c r="D222" s="59">
        <f t="shared" si="6"/>
        <v>607</v>
      </c>
      <c r="E222" s="60">
        <f t="shared" si="7"/>
        <v>0.46600000000000003</v>
      </c>
      <c r="L222" s="75"/>
    </row>
    <row r="223" spans="1:12" x14ac:dyDescent="0.25">
      <c r="A223" s="58">
        <v>43526</v>
      </c>
      <c r="B223" s="57">
        <v>8</v>
      </c>
      <c r="C223" s="57">
        <v>474</v>
      </c>
      <c r="D223" s="59">
        <f t="shared" si="6"/>
        <v>609</v>
      </c>
      <c r="E223" s="60">
        <f t="shared" si="7"/>
        <v>0.47399999999999998</v>
      </c>
      <c r="L223" s="75"/>
    </row>
    <row r="224" spans="1:12" x14ac:dyDescent="0.25">
      <c r="A224" s="58">
        <v>43526</v>
      </c>
      <c r="B224" s="57">
        <v>3</v>
      </c>
      <c r="C224" s="57">
        <v>477</v>
      </c>
      <c r="D224" s="59">
        <f t="shared" si="6"/>
        <v>609</v>
      </c>
      <c r="E224" s="60">
        <f t="shared" si="7"/>
        <v>0.47699999999999998</v>
      </c>
      <c r="L224" s="75"/>
    </row>
    <row r="225" spans="1:12" x14ac:dyDescent="0.25">
      <c r="A225" s="58">
        <v>43526</v>
      </c>
      <c r="B225" s="57">
        <v>1</v>
      </c>
      <c r="C225" s="57">
        <v>478</v>
      </c>
      <c r="D225" s="59">
        <f t="shared" si="6"/>
        <v>609</v>
      </c>
      <c r="E225" s="60">
        <f t="shared" si="7"/>
        <v>0.47799999999999998</v>
      </c>
      <c r="L225" s="75"/>
    </row>
    <row r="226" spans="1:12" x14ac:dyDescent="0.25">
      <c r="A226" s="58">
        <v>43526</v>
      </c>
      <c r="B226" s="57">
        <v>3</v>
      </c>
      <c r="C226" s="57">
        <v>481</v>
      </c>
      <c r="D226" s="59">
        <f t="shared" si="6"/>
        <v>609</v>
      </c>
      <c r="E226" s="60">
        <f t="shared" si="7"/>
        <v>0.48099999999999998</v>
      </c>
      <c r="L226" s="75"/>
    </row>
    <row r="227" spans="1:12" x14ac:dyDescent="0.25">
      <c r="A227" s="58">
        <v>43526</v>
      </c>
      <c r="B227" s="57">
        <v>2</v>
      </c>
      <c r="C227" s="57">
        <v>483</v>
      </c>
      <c r="D227" s="59">
        <f t="shared" si="6"/>
        <v>609</v>
      </c>
      <c r="E227" s="60">
        <f t="shared" si="7"/>
        <v>0.48299999999999998</v>
      </c>
      <c r="L227" s="75"/>
    </row>
    <row r="228" spans="1:12" x14ac:dyDescent="0.25">
      <c r="A228" s="58">
        <v>43526</v>
      </c>
      <c r="B228" s="57">
        <v>2</v>
      </c>
      <c r="C228" s="57">
        <v>485</v>
      </c>
      <c r="D228" s="59">
        <f t="shared" si="6"/>
        <v>609</v>
      </c>
      <c r="E228" s="60">
        <f t="shared" si="7"/>
        <v>0.48499999999999999</v>
      </c>
      <c r="L228" s="75"/>
    </row>
    <row r="229" spans="1:12" x14ac:dyDescent="0.25">
      <c r="A229" s="58">
        <v>43526</v>
      </c>
      <c r="B229" s="57">
        <v>3</v>
      </c>
      <c r="C229" s="57">
        <v>488</v>
      </c>
      <c r="D229" s="59">
        <f t="shared" si="6"/>
        <v>609</v>
      </c>
      <c r="E229" s="60">
        <f t="shared" si="7"/>
        <v>0.48799999999999999</v>
      </c>
      <c r="L229" s="75"/>
    </row>
    <row r="230" spans="1:12" x14ac:dyDescent="0.25">
      <c r="A230" s="58">
        <v>43526</v>
      </c>
      <c r="B230" s="57">
        <v>4</v>
      </c>
      <c r="C230" s="57">
        <v>492</v>
      </c>
      <c r="D230" s="59">
        <f t="shared" si="6"/>
        <v>609</v>
      </c>
      <c r="E230" s="60">
        <f t="shared" si="7"/>
        <v>0.49199999999999999</v>
      </c>
      <c r="L230" s="75"/>
    </row>
    <row r="231" spans="1:12" x14ac:dyDescent="0.25">
      <c r="A231" s="58">
        <v>43526</v>
      </c>
      <c r="B231" s="57">
        <v>1</v>
      </c>
      <c r="C231" s="57">
        <v>493</v>
      </c>
      <c r="D231" s="59">
        <f t="shared" si="6"/>
        <v>609</v>
      </c>
      <c r="E231" s="60">
        <f t="shared" si="7"/>
        <v>0.49299999999999999</v>
      </c>
      <c r="L231" s="75"/>
    </row>
    <row r="232" spans="1:12" x14ac:dyDescent="0.25">
      <c r="A232" s="58">
        <v>43526</v>
      </c>
      <c r="B232" s="57">
        <v>1</v>
      </c>
      <c r="C232" s="57">
        <v>494</v>
      </c>
      <c r="D232" s="59">
        <f t="shared" si="6"/>
        <v>609</v>
      </c>
      <c r="E232" s="60">
        <f t="shared" si="7"/>
        <v>0.49399999999999999</v>
      </c>
      <c r="L232" s="75"/>
    </row>
    <row r="233" spans="1:12" x14ac:dyDescent="0.25">
      <c r="A233" s="58">
        <v>43526</v>
      </c>
      <c r="B233" s="57">
        <v>2</v>
      </c>
      <c r="C233" s="57">
        <v>496</v>
      </c>
      <c r="D233" s="59">
        <f t="shared" si="6"/>
        <v>609</v>
      </c>
      <c r="E233" s="60">
        <f t="shared" si="7"/>
        <v>0.496</v>
      </c>
      <c r="L233" s="75"/>
    </row>
    <row r="234" spans="1:12" x14ac:dyDescent="0.25">
      <c r="A234" s="58">
        <v>43528</v>
      </c>
      <c r="B234" s="57">
        <v>5</v>
      </c>
      <c r="C234" s="57">
        <v>501</v>
      </c>
      <c r="D234" s="59">
        <f t="shared" si="6"/>
        <v>611</v>
      </c>
      <c r="E234" s="60">
        <f t="shared" si="7"/>
        <v>0.501</v>
      </c>
      <c r="L234" s="75"/>
    </row>
    <row r="235" spans="1:12" x14ac:dyDescent="0.25">
      <c r="A235" s="58">
        <v>43528</v>
      </c>
      <c r="B235" s="57">
        <v>2</v>
      </c>
      <c r="C235" s="57">
        <v>503</v>
      </c>
      <c r="D235" s="59">
        <f t="shared" si="6"/>
        <v>611</v>
      </c>
      <c r="E235" s="60">
        <f t="shared" si="7"/>
        <v>0.503</v>
      </c>
      <c r="L235" s="75"/>
    </row>
    <row r="236" spans="1:12" x14ac:dyDescent="0.25">
      <c r="A236" s="58">
        <v>43528</v>
      </c>
      <c r="B236" s="57">
        <v>4</v>
      </c>
      <c r="C236" s="57">
        <v>507</v>
      </c>
      <c r="D236" s="59">
        <f t="shared" si="6"/>
        <v>611</v>
      </c>
      <c r="E236" s="60">
        <f t="shared" si="7"/>
        <v>0.50700000000000001</v>
      </c>
      <c r="L236" s="75"/>
    </row>
    <row r="237" spans="1:12" x14ac:dyDescent="0.25">
      <c r="A237" s="58">
        <v>43528</v>
      </c>
      <c r="B237" s="57">
        <v>8</v>
      </c>
      <c r="C237" s="57">
        <v>515</v>
      </c>
      <c r="D237" s="59">
        <f t="shared" si="6"/>
        <v>611</v>
      </c>
      <c r="E237" s="60">
        <f t="shared" si="7"/>
        <v>0.51500000000000001</v>
      </c>
      <c r="L237" s="75"/>
    </row>
    <row r="238" spans="1:12" x14ac:dyDescent="0.25">
      <c r="A238" s="58">
        <v>43528</v>
      </c>
      <c r="B238" s="57">
        <v>1</v>
      </c>
      <c r="C238" s="57">
        <v>516</v>
      </c>
      <c r="D238" s="59">
        <f t="shared" si="6"/>
        <v>611</v>
      </c>
      <c r="E238" s="60">
        <f t="shared" si="7"/>
        <v>0.51600000000000001</v>
      </c>
      <c r="L238" s="75"/>
    </row>
    <row r="239" spans="1:12" x14ac:dyDescent="0.25">
      <c r="A239" s="58">
        <v>43528</v>
      </c>
      <c r="B239" s="57">
        <v>4</v>
      </c>
      <c r="C239" s="57">
        <v>520</v>
      </c>
      <c r="D239" s="59">
        <f t="shared" si="6"/>
        <v>611</v>
      </c>
      <c r="E239" s="60">
        <f t="shared" si="7"/>
        <v>0.52</v>
      </c>
      <c r="L239" s="75"/>
    </row>
    <row r="240" spans="1:12" x14ac:dyDescent="0.25">
      <c r="A240" s="58">
        <v>43528</v>
      </c>
      <c r="B240" s="57">
        <v>1</v>
      </c>
      <c r="C240" s="57">
        <v>521</v>
      </c>
      <c r="D240" s="59">
        <f t="shared" si="6"/>
        <v>611</v>
      </c>
      <c r="E240" s="60">
        <f t="shared" si="7"/>
        <v>0.52100000000000002</v>
      </c>
      <c r="L240" s="75"/>
    </row>
    <row r="241" spans="1:12" x14ac:dyDescent="0.25">
      <c r="A241" s="58">
        <v>43528</v>
      </c>
      <c r="B241" s="57">
        <v>2</v>
      </c>
      <c r="C241" s="57">
        <v>523</v>
      </c>
      <c r="D241" s="59">
        <f t="shared" si="6"/>
        <v>611</v>
      </c>
      <c r="E241" s="60">
        <f t="shared" si="7"/>
        <v>0.52300000000000002</v>
      </c>
      <c r="L241" s="75"/>
    </row>
    <row r="242" spans="1:12" x14ac:dyDescent="0.25">
      <c r="A242" s="58">
        <v>43530</v>
      </c>
      <c r="B242" s="57">
        <v>8</v>
      </c>
      <c r="C242" s="57">
        <v>531</v>
      </c>
      <c r="D242" s="59">
        <f t="shared" si="6"/>
        <v>613</v>
      </c>
      <c r="E242" s="60">
        <f t="shared" si="7"/>
        <v>0.53100000000000003</v>
      </c>
      <c r="L242" s="75"/>
    </row>
    <row r="243" spans="1:12" x14ac:dyDescent="0.25">
      <c r="A243" s="58">
        <v>43530</v>
      </c>
      <c r="B243" s="57">
        <v>1</v>
      </c>
      <c r="C243" s="57">
        <v>532</v>
      </c>
      <c r="D243" s="59">
        <f t="shared" si="6"/>
        <v>613</v>
      </c>
      <c r="E243" s="60">
        <f t="shared" si="7"/>
        <v>0.53200000000000003</v>
      </c>
      <c r="L243" s="75"/>
    </row>
    <row r="244" spans="1:12" x14ac:dyDescent="0.25">
      <c r="A244" s="58">
        <v>43530</v>
      </c>
      <c r="B244" s="57">
        <v>3</v>
      </c>
      <c r="C244" s="57">
        <v>535</v>
      </c>
      <c r="D244" s="59">
        <f t="shared" si="6"/>
        <v>613</v>
      </c>
      <c r="E244" s="60">
        <f t="shared" si="7"/>
        <v>0.53500000000000003</v>
      </c>
      <c r="L244" s="75"/>
    </row>
    <row r="245" spans="1:12" x14ac:dyDescent="0.25">
      <c r="A245" s="58">
        <v>43530</v>
      </c>
      <c r="B245" s="57">
        <v>2</v>
      </c>
      <c r="C245" s="57">
        <v>537</v>
      </c>
      <c r="D245" s="59">
        <f t="shared" si="6"/>
        <v>613</v>
      </c>
      <c r="E245" s="60">
        <f t="shared" si="7"/>
        <v>0.53700000000000003</v>
      </c>
      <c r="L245" s="75"/>
    </row>
    <row r="246" spans="1:12" x14ac:dyDescent="0.25">
      <c r="A246" s="58">
        <v>43530</v>
      </c>
      <c r="B246" s="57">
        <v>1</v>
      </c>
      <c r="C246" s="57">
        <v>538</v>
      </c>
      <c r="D246" s="59">
        <f t="shared" si="6"/>
        <v>613</v>
      </c>
      <c r="E246" s="60">
        <f t="shared" si="7"/>
        <v>0.53800000000000003</v>
      </c>
      <c r="L246" s="75"/>
    </row>
    <row r="247" spans="1:12" x14ac:dyDescent="0.25">
      <c r="A247" s="58">
        <v>43530</v>
      </c>
      <c r="B247" s="57">
        <v>2</v>
      </c>
      <c r="C247" s="57">
        <v>540</v>
      </c>
      <c r="D247" s="59">
        <f t="shared" si="6"/>
        <v>613</v>
      </c>
      <c r="E247" s="60">
        <f t="shared" si="7"/>
        <v>0.54</v>
      </c>
      <c r="L247" s="75"/>
    </row>
    <row r="248" spans="1:12" x14ac:dyDescent="0.25">
      <c r="A248" s="58">
        <v>43530</v>
      </c>
      <c r="B248" s="57">
        <v>5</v>
      </c>
      <c r="C248" s="57">
        <v>545</v>
      </c>
      <c r="D248" s="59">
        <f t="shared" si="6"/>
        <v>613</v>
      </c>
      <c r="E248" s="60">
        <f t="shared" si="7"/>
        <v>0.54500000000000004</v>
      </c>
      <c r="L248" s="75"/>
    </row>
    <row r="249" spans="1:12" x14ac:dyDescent="0.25">
      <c r="A249" s="58">
        <v>43530</v>
      </c>
      <c r="B249" s="57">
        <v>6</v>
      </c>
      <c r="C249" s="57">
        <v>551</v>
      </c>
      <c r="D249" s="59">
        <f t="shared" si="6"/>
        <v>613</v>
      </c>
      <c r="E249" s="60">
        <f t="shared" si="7"/>
        <v>0.55100000000000005</v>
      </c>
      <c r="L249" s="75"/>
    </row>
    <row r="250" spans="1:12" x14ac:dyDescent="0.25">
      <c r="A250" s="58">
        <v>43530</v>
      </c>
      <c r="B250" s="57">
        <v>4</v>
      </c>
      <c r="C250" s="57">
        <v>555</v>
      </c>
      <c r="D250" s="59">
        <f t="shared" si="6"/>
        <v>613</v>
      </c>
      <c r="E250" s="60">
        <f t="shared" si="7"/>
        <v>0.55500000000000005</v>
      </c>
      <c r="L250" s="75"/>
    </row>
    <row r="251" spans="1:12" x14ac:dyDescent="0.25">
      <c r="A251" s="58">
        <v>43530</v>
      </c>
      <c r="B251" s="57">
        <v>1</v>
      </c>
      <c r="C251" s="57">
        <v>556</v>
      </c>
      <c r="D251" s="59">
        <f t="shared" si="6"/>
        <v>613</v>
      </c>
      <c r="E251" s="60">
        <f t="shared" si="7"/>
        <v>0.55600000000000005</v>
      </c>
      <c r="L251" s="75"/>
    </row>
    <row r="252" spans="1:12" x14ac:dyDescent="0.25">
      <c r="A252" s="58">
        <v>43530</v>
      </c>
      <c r="B252" s="57">
        <v>1</v>
      </c>
      <c r="C252" s="57">
        <v>557</v>
      </c>
      <c r="D252" s="59">
        <f t="shared" si="6"/>
        <v>613</v>
      </c>
      <c r="E252" s="60">
        <f t="shared" si="7"/>
        <v>0.55700000000000005</v>
      </c>
      <c r="L252" s="75"/>
    </row>
    <row r="253" spans="1:12" x14ac:dyDescent="0.25">
      <c r="A253" s="58">
        <v>43532</v>
      </c>
      <c r="B253" s="57">
        <v>1</v>
      </c>
      <c r="C253" s="57">
        <v>558</v>
      </c>
      <c r="D253" s="59">
        <f t="shared" si="6"/>
        <v>615</v>
      </c>
      <c r="E253" s="60">
        <f t="shared" si="7"/>
        <v>0.55800000000000005</v>
      </c>
      <c r="L253" s="75"/>
    </row>
    <row r="254" spans="1:12" x14ac:dyDescent="0.25">
      <c r="A254" s="58">
        <v>43532</v>
      </c>
      <c r="B254" s="57">
        <v>6</v>
      </c>
      <c r="C254" s="57">
        <v>564</v>
      </c>
      <c r="D254" s="59">
        <f t="shared" si="6"/>
        <v>615</v>
      </c>
      <c r="E254" s="60">
        <f t="shared" si="7"/>
        <v>0.56399999999999995</v>
      </c>
      <c r="L254" s="75"/>
    </row>
    <row r="255" spans="1:12" x14ac:dyDescent="0.25">
      <c r="A255" s="58">
        <v>43532</v>
      </c>
      <c r="B255" s="57">
        <v>2</v>
      </c>
      <c r="C255" s="57">
        <v>566</v>
      </c>
      <c r="D255" s="59">
        <f t="shared" si="6"/>
        <v>615</v>
      </c>
      <c r="E255" s="60">
        <f t="shared" si="7"/>
        <v>0.56599999999999995</v>
      </c>
      <c r="L255" s="75"/>
    </row>
    <row r="256" spans="1:12" x14ac:dyDescent="0.25">
      <c r="A256" s="58">
        <v>43532</v>
      </c>
      <c r="B256" s="57">
        <v>1</v>
      </c>
      <c r="C256" s="57">
        <v>567</v>
      </c>
      <c r="D256" s="59">
        <f t="shared" si="6"/>
        <v>615</v>
      </c>
      <c r="E256" s="60">
        <f t="shared" si="7"/>
        <v>0.56699999999999995</v>
      </c>
      <c r="L256" s="75"/>
    </row>
    <row r="257" spans="1:12" x14ac:dyDescent="0.25">
      <c r="A257" s="58">
        <v>43532</v>
      </c>
      <c r="B257" s="57">
        <v>3</v>
      </c>
      <c r="C257" s="57">
        <v>570</v>
      </c>
      <c r="D257" s="59">
        <f t="shared" si="6"/>
        <v>615</v>
      </c>
      <c r="E257" s="60">
        <f t="shared" si="7"/>
        <v>0.56999999999999995</v>
      </c>
      <c r="L257" s="75"/>
    </row>
    <row r="258" spans="1:12" x14ac:dyDescent="0.25">
      <c r="A258" s="58">
        <v>43532</v>
      </c>
      <c r="B258" s="57">
        <v>4</v>
      </c>
      <c r="C258" s="57">
        <v>574</v>
      </c>
      <c r="D258" s="59">
        <f t="shared" si="6"/>
        <v>615</v>
      </c>
      <c r="E258" s="60">
        <f t="shared" si="7"/>
        <v>0.57399999999999995</v>
      </c>
      <c r="L258" s="75"/>
    </row>
    <row r="259" spans="1:12" x14ac:dyDescent="0.25">
      <c r="A259" s="58">
        <v>43532</v>
      </c>
      <c r="B259" s="57">
        <v>2</v>
      </c>
      <c r="C259" s="57">
        <v>576</v>
      </c>
      <c r="D259" s="59">
        <f t="shared" ref="D259:D322" si="8">A259-$I$3</f>
        <v>615</v>
      </c>
      <c r="E259" s="60">
        <f t="shared" ref="E259:E322" si="9">C259/MAX(C:C)</f>
        <v>0.57599999999999996</v>
      </c>
      <c r="L259" s="75"/>
    </row>
    <row r="260" spans="1:12" x14ac:dyDescent="0.25">
      <c r="A260" s="58">
        <v>43532</v>
      </c>
      <c r="B260" s="57">
        <v>2</v>
      </c>
      <c r="C260" s="57">
        <v>578</v>
      </c>
      <c r="D260" s="59">
        <f t="shared" si="8"/>
        <v>615</v>
      </c>
      <c r="E260" s="60">
        <f t="shared" si="9"/>
        <v>0.57799999999999996</v>
      </c>
      <c r="L260" s="75"/>
    </row>
    <row r="261" spans="1:12" x14ac:dyDescent="0.25">
      <c r="A261" s="58">
        <v>43532</v>
      </c>
      <c r="B261" s="57">
        <v>5</v>
      </c>
      <c r="C261" s="57">
        <v>583</v>
      </c>
      <c r="D261" s="59">
        <f t="shared" si="8"/>
        <v>615</v>
      </c>
      <c r="E261" s="60">
        <f t="shared" si="9"/>
        <v>0.58299999999999996</v>
      </c>
      <c r="L261" s="75"/>
    </row>
    <row r="262" spans="1:12" x14ac:dyDescent="0.25">
      <c r="A262" s="58">
        <v>43532</v>
      </c>
      <c r="B262" s="57">
        <v>7</v>
      </c>
      <c r="C262" s="57">
        <v>590</v>
      </c>
      <c r="D262" s="59">
        <f t="shared" si="8"/>
        <v>615</v>
      </c>
      <c r="E262" s="60">
        <f t="shared" si="9"/>
        <v>0.59</v>
      </c>
      <c r="L262" s="75"/>
    </row>
    <row r="263" spans="1:12" x14ac:dyDescent="0.25">
      <c r="A263" s="58">
        <v>43532</v>
      </c>
      <c r="B263" s="57">
        <v>3</v>
      </c>
      <c r="C263" s="57">
        <v>593</v>
      </c>
      <c r="D263" s="59">
        <f t="shared" si="8"/>
        <v>615</v>
      </c>
      <c r="E263" s="60">
        <f t="shared" si="9"/>
        <v>0.59299999999999997</v>
      </c>
      <c r="L263" s="75"/>
    </row>
    <row r="264" spans="1:12" x14ac:dyDescent="0.25">
      <c r="A264" s="58">
        <v>43532</v>
      </c>
      <c r="B264" s="57">
        <v>2</v>
      </c>
      <c r="C264" s="57">
        <v>595</v>
      </c>
      <c r="D264" s="59">
        <f t="shared" si="8"/>
        <v>615</v>
      </c>
      <c r="E264" s="60">
        <f t="shared" si="9"/>
        <v>0.59499999999999997</v>
      </c>
      <c r="L264" s="75"/>
    </row>
    <row r="265" spans="1:12" x14ac:dyDescent="0.25">
      <c r="A265" s="58">
        <v>43534</v>
      </c>
      <c r="B265" s="57">
        <v>4</v>
      </c>
      <c r="C265" s="57">
        <v>599</v>
      </c>
      <c r="D265" s="59">
        <f t="shared" si="8"/>
        <v>617</v>
      </c>
      <c r="E265" s="60">
        <f t="shared" si="9"/>
        <v>0.59899999999999998</v>
      </c>
      <c r="L265" s="75"/>
    </row>
    <row r="266" spans="1:12" x14ac:dyDescent="0.25">
      <c r="A266" s="58">
        <v>43534</v>
      </c>
      <c r="B266" s="57">
        <v>2</v>
      </c>
      <c r="C266" s="57">
        <v>601</v>
      </c>
      <c r="D266" s="59">
        <f t="shared" si="8"/>
        <v>617</v>
      </c>
      <c r="E266" s="60">
        <f t="shared" si="9"/>
        <v>0.60099999999999998</v>
      </c>
      <c r="L266" s="75"/>
    </row>
    <row r="267" spans="1:12" x14ac:dyDescent="0.25">
      <c r="A267" s="58">
        <v>43534</v>
      </c>
      <c r="B267" s="57">
        <v>3</v>
      </c>
      <c r="C267" s="57">
        <v>604</v>
      </c>
      <c r="D267" s="59">
        <f t="shared" si="8"/>
        <v>617</v>
      </c>
      <c r="E267" s="60">
        <f t="shared" si="9"/>
        <v>0.60399999999999998</v>
      </c>
      <c r="L267" s="75"/>
    </row>
    <row r="268" spans="1:12" x14ac:dyDescent="0.25">
      <c r="A268" s="58">
        <v>43536</v>
      </c>
      <c r="B268" s="57">
        <v>1</v>
      </c>
      <c r="C268" s="57">
        <v>605</v>
      </c>
      <c r="D268" s="59">
        <f t="shared" si="8"/>
        <v>619</v>
      </c>
      <c r="E268" s="60">
        <f t="shared" si="9"/>
        <v>0.60499999999999998</v>
      </c>
      <c r="L268" s="75"/>
    </row>
    <row r="269" spans="1:12" x14ac:dyDescent="0.25">
      <c r="A269" s="58">
        <v>43536</v>
      </c>
      <c r="B269" s="57">
        <v>3</v>
      </c>
      <c r="C269" s="57">
        <v>608</v>
      </c>
      <c r="D269" s="59">
        <f t="shared" si="8"/>
        <v>619</v>
      </c>
      <c r="E269" s="60">
        <f t="shared" si="9"/>
        <v>0.60799999999999998</v>
      </c>
      <c r="L269" s="75"/>
    </row>
    <row r="270" spans="1:12" x14ac:dyDescent="0.25">
      <c r="A270" s="58">
        <v>43536</v>
      </c>
      <c r="B270" s="57">
        <v>5</v>
      </c>
      <c r="C270" s="57">
        <v>613</v>
      </c>
      <c r="D270" s="59">
        <f t="shared" si="8"/>
        <v>619</v>
      </c>
      <c r="E270" s="60">
        <f t="shared" si="9"/>
        <v>0.61299999999999999</v>
      </c>
      <c r="L270" s="75"/>
    </row>
    <row r="271" spans="1:12" x14ac:dyDescent="0.25">
      <c r="A271" s="58">
        <v>43536</v>
      </c>
      <c r="B271" s="57">
        <v>7</v>
      </c>
      <c r="C271" s="57">
        <v>620</v>
      </c>
      <c r="D271" s="59">
        <f t="shared" si="8"/>
        <v>619</v>
      </c>
      <c r="E271" s="60">
        <f t="shared" si="9"/>
        <v>0.62</v>
      </c>
      <c r="L271" s="75"/>
    </row>
    <row r="272" spans="1:12" x14ac:dyDescent="0.25">
      <c r="A272" s="58">
        <v>43536</v>
      </c>
      <c r="B272" s="57">
        <v>3</v>
      </c>
      <c r="C272" s="57">
        <v>623</v>
      </c>
      <c r="D272" s="59">
        <f t="shared" si="8"/>
        <v>619</v>
      </c>
      <c r="E272" s="60">
        <f t="shared" si="9"/>
        <v>0.623</v>
      </c>
      <c r="L272" s="75"/>
    </row>
    <row r="273" spans="1:12" x14ac:dyDescent="0.25">
      <c r="A273" s="58">
        <v>43536</v>
      </c>
      <c r="B273" s="57">
        <v>3</v>
      </c>
      <c r="C273" s="57">
        <v>626</v>
      </c>
      <c r="D273" s="59">
        <f t="shared" si="8"/>
        <v>619</v>
      </c>
      <c r="E273" s="60">
        <f t="shared" si="9"/>
        <v>0.626</v>
      </c>
      <c r="L273" s="75"/>
    </row>
    <row r="274" spans="1:12" x14ac:dyDescent="0.25">
      <c r="A274" s="58">
        <v>43536</v>
      </c>
      <c r="B274" s="57">
        <v>1</v>
      </c>
      <c r="C274" s="57">
        <v>627</v>
      </c>
      <c r="D274" s="59">
        <f t="shared" si="8"/>
        <v>619</v>
      </c>
      <c r="E274" s="60">
        <f t="shared" si="9"/>
        <v>0.627</v>
      </c>
      <c r="L274" s="75"/>
    </row>
    <row r="275" spans="1:12" x14ac:dyDescent="0.25">
      <c r="A275" s="58">
        <v>43536</v>
      </c>
      <c r="B275" s="57">
        <v>1</v>
      </c>
      <c r="C275" s="57">
        <v>628</v>
      </c>
      <c r="D275" s="59">
        <f t="shared" si="8"/>
        <v>619</v>
      </c>
      <c r="E275" s="60">
        <f t="shared" si="9"/>
        <v>0.628</v>
      </c>
      <c r="L275" s="75"/>
    </row>
    <row r="276" spans="1:12" x14ac:dyDescent="0.25">
      <c r="A276" s="58">
        <v>43536</v>
      </c>
      <c r="B276" s="57">
        <v>1</v>
      </c>
      <c r="C276" s="57">
        <v>629</v>
      </c>
      <c r="D276" s="59">
        <f t="shared" si="8"/>
        <v>619</v>
      </c>
      <c r="E276" s="60">
        <f t="shared" si="9"/>
        <v>0.629</v>
      </c>
      <c r="L276" s="75"/>
    </row>
    <row r="277" spans="1:12" x14ac:dyDescent="0.25">
      <c r="A277" s="58">
        <v>43536</v>
      </c>
      <c r="B277" s="57">
        <v>2</v>
      </c>
      <c r="C277" s="57">
        <v>631</v>
      </c>
      <c r="D277" s="59">
        <f t="shared" si="8"/>
        <v>619</v>
      </c>
      <c r="E277" s="60">
        <f t="shared" si="9"/>
        <v>0.63100000000000001</v>
      </c>
      <c r="L277" s="75"/>
    </row>
    <row r="278" spans="1:12" x14ac:dyDescent="0.25">
      <c r="A278" s="58">
        <v>43538</v>
      </c>
      <c r="B278" s="57">
        <v>9</v>
      </c>
      <c r="C278" s="57">
        <v>640</v>
      </c>
      <c r="D278" s="59">
        <f t="shared" si="8"/>
        <v>621</v>
      </c>
      <c r="E278" s="60">
        <f t="shared" si="9"/>
        <v>0.64</v>
      </c>
      <c r="L278" s="75"/>
    </row>
    <row r="279" spans="1:12" x14ac:dyDescent="0.25">
      <c r="A279" s="58">
        <v>43538</v>
      </c>
      <c r="B279" s="57">
        <v>2</v>
      </c>
      <c r="C279" s="57">
        <v>642</v>
      </c>
      <c r="D279" s="59">
        <f t="shared" si="8"/>
        <v>621</v>
      </c>
      <c r="E279" s="60">
        <f t="shared" si="9"/>
        <v>0.64200000000000002</v>
      </c>
      <c r="L279" s="75"/>
    </row>
    <row r="280" spans="1:12" x14ac:dyDescent="0.25">
      <c r="A280" s="58">
        <v>43538</v>
      </c>
      <c r="B280" s="57">
        <v>5</v>
      </c>
      <c r="C280" s="57">
        <v>647</v>
      </c>
      <c r="D280" s="59">
        <f t="shared" si="8"/>
        <v>621</v>
      </c>
      <c r="E280" s="60">
        <f t="shared" si="9"/>
        <v>0.64700000000000002</v>
      </c>
      <c r="L280" s="75"/>
    </row>
    <row r="281" spans="1:12" x14ac:dyDescent="0.25">
      <c r="A281" s="58">
        <v>43538</v>
      </c>
      <c r="B281" s="57">
        <v>2</v>
      </c>
      <c r="C281" s="57">
        <v>649</v>
      </c>
      <c r="D281" s="59">
        <f t="shared" si="8"/>
        <v>621</v>
      </c>
      <c r="E281" s="60">
        <f t="shared" si="9"/>
        <v>0.64900000000000002</v>
      </c>
      <c r="L281" s="75"/>
    </row>
    <row r="282" spans="1:12" x14ac:dyDescent="0.25">
      <c r="A282" s="58">
        <v>43538</v>
      </c>
      <c r="B282" s="57">
        <v>3</v>
      </c>
      <c r="C282" s="57">
        <v>652</v>
      </c>
      <c r="D282" s="59">
        <f t="shared" si="8"/>
        <v>621</v>
      </c>
      <c r="E282" s="60">
        <f t="shared" si="9"/>
        <v>0.65200000000000002</v>
      </c>
      <c r="L282" s="75"/>
    </row>
    <row r="283" spans="1:12" x14ac:dyDescent="0.25">
      <c r="A283" s="58">
        <v>43538</v>
      </c>
      <c r="B283" s="57">
        <v>2</v>
      </c>
      <c r="C283" s="57">
        <v>654</v>
      </c>
      <c r="D283" s="59">
        <f t="shared" si="8"/>
        <v>621</v>
      </c>
      <c r="E283" s="60">
        <f t="shared" si="9"/>
        <v>0.65400000000000003</v>
      </c>
      <c r="L283" s="75"/>
    </row>
    <row r="284" spans="1:12" x14ac:dyDescent="0.25">
      <c r="A284" s="58">
        <v>43538</v>
      </c>
      <c r="B284" s="57">
        <v>2</v>
      </c>
      <c r="C284" s="57">
        <v>656</v>
      </c>
      <c r="D284" s="59">
        <f t="shared" si="8"/>
        <v>621</v>
      </c>
      <c r="E284" s="60">
        <f t="shared" si="9"/>
        <v>0.65600000000000003</v>
      </c>
      <c r="L284" s="75"/>
    </row>
    <row r="285" spans="1:12" x14ac:dyDescent="0.25">
      <c r="A285" s="58">
        <v>43538</v>
      </c>
      <c r="B285" s="57">
        <v>3</v>
      </c>
      <c r="C285" s="57">
        <v>659</v>
      </c>
      <c r="D285" s="59">
        <f t="shared" si="8"/>
        <v>621</v>
      </c>
      <c r="E285" s="60">
        <f t="shared" si="9"/>
        <v>0.65900000000000003</v>
      </c>
      <c r="L285" s="75"/>
    </row>
    <row r="286" spans="1:12" x14ac:dyDescent="0.25">
      <c r="A286" s="58">
        <v>43538</v>
      </c>
      <c r="B286" s="57">
        <v>1</v>
      </c>
      <c r="C286" s="57">
        <v>660</v>
      </c>
      <c r="D286" s="59">
        <f t="shared" si="8"/>
        <v>621</v>
      </c>
      <c r="E286" s="60">
        <f t="shared" si="9"/>
        <v>0.66</v>
      </c>
      <c r="L286" s="75"/>
    </row>
    <row r="287" spans="1:12" x14ac:dyDescent="0.25">
      <c r="A287" s="58">
        <v>43538</v>
      </c>
      <c r="B287" s="57">
        <v>4</v>
      </c>
      <c r="C287" s="57">
        <v>664</v>
      </c>
      <c r="D287" s="59">
        <f t="shared" si="8"/>
        <v>621</v>
      </c>
      <c r="E287" s="60">
        <f t="shared" si="9"/>
        <v>0.66400000000000003</v>
      </c>
      <c r="L287" s="75"/>
    </row>
    <row r="288" spans="1:12" x14ac:dyDescent="0.25">
      <c r="A288" s="58">
        <v>43538</v>
      </c>
      <c r="B288" s="57">
        <v>3</v>
      </c>
      <c r="C288" s="57">
        <v>667</v>
      </c>
      <c r="D288" s="59">
        <f t="shared" si="8"/>
        <v>621</v>
      </c>
      <c r="E288" s="60">
        <f t="shared" si="9"/>
        <v>0.66700000000000004</v>
      </c>
      <c r="L288" s="75"/>
    </row>
    <row r="289" spans="1:12" x14ac:dyDescent="0.25">
      <c r="A289" s="58">
        <v>43540</v>
      </c>
      <c r="B289" s="57">
        <v>2</v>
      </c>
      <c r="C289" s="57">
        <v>669</v>
      </c>
      <c r="D289" s="59">
        <f t="shared" si="8"/>
        <v>623</v>
      </c>
      <c r="E289" s="60">
        <f t="shared" si="9"/>
        <v>0.66900000000000004</v>
      </c>
      <c r="L289" s="75"/>
    </row>
    <row r="290" spans="1:12" x14ac:dyDescent="0.25">
      <c r="A290" s="58">
        <v>43540</v>
      </c>
      <c r="B290" s="57">
        <v>2</v>
      </c>
      <c r="C290" s="57">
        <v>671</v>
      </c>
      <c r="D290" s="59">
        <f t="shared" si="8"/>
        <v>623</v>
      </c>
      <c r="E290" s="60">
        <f t="shared" si="9"/>
        <v>0.67100000000000004</v>
      </c>
      <c r="L290" s="75"/>
    </row>
    <row r="291" spans="1:12" x14ac:dyDescent="0.25">
      <c r="A291" s="58">
        <v>43540</v>
      </c>
      <c r="B291" s="57">
        <v>2</v>
      </c>
      <c r="C291" s="57">
        <v>673</v>
      </c>
      <c r="D291" s="59">
        <f t="shared" si="8"/>
        <v>623</v>
      </c>
      <c r="E291" s="60">
        <f t="shared" si="9"/>
        <v>0.67300000000000004</v>
      </c>
      <c r="L291" s="75"/>
    </row>
    <row r="292" spans="1:12" x14ac:dyDescent="0.25">
      <c r="A292" s="58">
        <v>43540</v>
      </c>
      <c r="B292" s="57">
        <v>7</v>
      </c>
      <c r="C292" s="57">
        <v>680</v>
      </c>
      <c r="D292" s="59">
        <f t="shared" si="8"/>
        <v>623</v>
      </c>
      <c r="E292" s="60">
        <f t="shared" si="9"/>
        <v>0.68</v>
      </c>
      <c r="L292" s="75"/>
    </row>
    <row r="293" spans="1:12" x14ac:dyDescent="0.25">
      <c r="A293" s="58">
        <v>43540</v>
      </c>
      <c r="B293" s="57">
        <v>1</v>
      </c>
      <c r="C293" s="57">
        <v>681</v>
      </c>
      <c r="D293" s="59">
        <f t="shared" si="8"/>
        <v>623</v>
      </c>
      <c r="E293" s="60">
        <f t="shared" si="9"/>
        <v>0.68100000000000005</v>
      </c>
      <c r="L293" s="75"/>
    </row>
    <row r="294" spans="1:12" x14ac:dyDescent="0.25">
      <c r="A294" s="58">
        <v>43540</v>
      </c>
      <c r="B294" s="57">
        <v>5</v>
      </c>
      <c r="C294" s="57">
        <v>686</v>
      </c>
      <c r="D294" s="59">
        <f t="shared" si="8"/>
        <v>623</v>
      </c>
      <c r="E294" s="60">
        <f t="shared" si="9"/>
        <v>0.68600000000000005</v>
      </c>
      <c r="L294" s="75"/>
    </row>
    <row r="295" spans="1:12" x14ac:dyDescent="0.25">
      <c r="A295" s="58">
        <v>43540</v>
      </c>
      <c r="B295" s="57">
        <v>2</v>
      </c>
      <c r="C295" s="57">
        <v>688</v>
      </c>
      <c r="D295" s="59">
        <f t="shared" si="8"/>
        <v>623</v>
      </c>
      <c r="E295" s="60">
        <f t="shared" si="9"/>
        <v>0.68799999999999994</v>
      </c>
      <c r="L295" s="75"/>
    </row>
    <row r="296" spans="1:12" x14ac:dyDescent="0.25">
      <c r="A296" s="58">
        <v>43540</v>
      </c>
      <c r="B296" s="57">
        <v>6</v>
      </c>
      <c r="C296" s="57">
        <v>694</v>
      </c>
      <c r="D296" s="59">
        <f t="shared" si="8"/>
        <v>623</v>
      </c>
      <c r="E296" s="60">
        <f t="shared" si="9"/>
        <v>0.69399999999999995</v>
      </c>
      <c r="L296" s="75"/>
    </row>
    <row r="297" spans="1:12" x14ac:dyDescent="0.25">
      <c r="A297" s="58">
        <v>43540</v>
      </c>
      <c r="B297" s="57">
        <v>1</v>
      </c>
      <c r="C297" s="57">
        <v>695</v>
      </c>
      <c r="D297" s="59">
        <f t="shared" si="8"/>
        <v>623</v>
      </c>
      <c r="E297" s="60">
        <f t="shared" si="9"/>
        <v>0.69499999999999995</v>
      </c>
      <c r="L297" s="75"/>
    </row>
    <row r="298" spans="1:12" x14ac:dyDescent="0.25">
      <c r="A298" s="58">
        <v>43542</v>
      </c>
      <c r="B298" s="57">
        <v>4</v>
      </c>
      <c r="C298" s="57">
        <v>699</v>
      </c>
      <c r="D298" s="59">
        <f t="shared" si="8"/>
        <v>625</v>
      </c>
      <c r="E298" s="60">
        <f t="shared" si="9"/>
        <v>0.69899999999999995</v>
      </c>
      <c r="L298" s="75"/>
    </row>
    <row r="299" spans="1:12" x14ac:dyDescent="0.25">
      <c r="A299" s="58">
        <v>43542</v>
      </c>
      <c r="B299" s="57">
        <v>2</v>
      </c>
      <c r="C299" s="57">
        <v>701</v>
      </c>
      <c r="D299" s="59">
        <f t="shared" si="8"/>
        <v>625</v>
      </c>
      <c r="E299" s="60">
        <f t="shared" si="9"/>
        <v>0.70099999999999996</v>
      </c>
      <c r="L299" s="75"/>
    </row>
    <row r="300" spans="1:12" x14ac:dyDescent="0.25">
      <c r="A300" s="58">
        <v>43542</v>
      </c>
      <c r="B300" s="57">
        <v>2</v>
      </c>
      <c r="C300" s="57">
        <v>703</v>
      </c>
      <c r="D300" s="59">
        <f t="shared" si="8"/>
        <v>625</v>
      </c>
      <c r="E300" s="60">
        <f t="shared" si="9"/>
        <v>0.70299999999999996</v>
      </c>
      <c r="L300" s="75"/>
    </row>
    <row r="301" spans="1:12" x14ac:dyDescent="0.25">
      <c r="A301" s="58">
        <v>43542</v>
      </c>
      <c r="B301" s="57">
        <v>1</v>
      </c>
      <c r="C301" s="57">
        <v>704</v>
      </c>
      <c r="D301" s="59">
        <f t="shared" si="8"/>
        <v>625</v>
      </c>
      <c r="E301" s="60">
        <f t="shared" si="9"/>
        <v>0.70399999999999996</v>
      </c>
      <c r="L301" s="75"/>
    </row>
    <row r="302" spans="1:12" x14ac:dyDescent="0.25">
      <c r="A302" s="58">
        <v>43542</v>
      </c>
      <c r="B302" s="57">
        <v>3</v>
      </c>
      <c r="C302" s="57">
        <v>707</v>
      </c>
      <c r="D302" s="59">
        <f t="shared" si="8"/>
        <v>625</v>
      </c>
      <c r="E302" s="60">
        <f t="shared" si="9"/>
        <v>0.70699999999999996</v>
      </c>
      <c r="L302" s="75"/>
    </row>
    <row r="303" spans="1:12" x14ac:dyDescent="0.25">
      <c r="A303" s="58">
        <v>43542</v>
      </c>
      <c r="B303" s="57">
        <v>1</v>
      </c>
      <c r="C303" s="57">
        <v>708</v>
      </c>
      <c r="D303" s="59">
        <f t="shared" si="8"/>
        <v>625</v>
      </c>
      <c r="E303" s="60">
        <f t="shared" si="9"/>
        <v>0.70799999999999996</v>
      </c>
      <c r="L303" s="75"/>
    </row>
    <row r="304" spans="1:12" x14ac:dyDescent="0.25">
      <c r="A304" s="58">
        <v>43542</v>
      </c>
      <c r="B304" s="57">
        <v>2</v>
      </c>
      <c r="C304" s="57">
        <v>710</v>
      </c>
      <c r="D304" s="59">
        <f t="shared" si="8"/>
        <v>625</v>
      </c>
      <c r="E304" s="60">
        <f t="shared" si="9"/>
        <v>0.71</v>
      </c>
      <c r="L304" s="75"/>
    </row>
    <row r="305" spans="1:12" x14ac:dyDescent="0.25">
      <c r="A305" s="58">
        <v>43542</v>
      </c>
      <c r="B305" s="57">
        <v>5</v>
      </c>
      <c r="C305" s="57">
        <v>715</v>
      </c>
      <c r="D305" s="59">
        <f t="shared" si="8"/>
        <v>625</v>
      </c>
      <c r="E305" s="60">
        <f t="shared" si="9"/>
        <v>0.71499999999999997</v>
      </c>
      <c r="L305" s="75"/>
    </row>
    <row r="306" spans="1:12" x14ac:dyDescent="0.25">
      <c r="A306" s="58">
        <v>43544</v>
      </c>
      <c r="B306" s="57">
        <v>4</v>
      </c>
      <c r="C306" s="57">
        <v>719</v>
      </c>
      <c r="D306" s="59">
        <f t="shared" si="8"/>
        <v>627</v>
      </c>
      <c r="E306" s="60">
        <f t="shared" si="9"/>
        <v>0.71899999999999997</v>
      </c>
      <c r="L306" s="75"/>
    </row>
    <row r="307" spans="1:12" x14ac:dyDescent="0.25">
      <c r="A307" s="58">
        <v>43544</v>
      </c>
      <c r="B307" s="57">
        <v>1</v>
      </c>
      <c r="C307" s="57">
        <v>720</v>
      </c>
      <c r="D307" s="59">
        <f t="shared" si="8"/>
        <v>627</v>
      </c>
      <c r="E307" s="60">
        <f t="shared" si="9"/>
        <v>0.72</v>
      </c>
      <c r="L307" s="75"/>
    </row>
    <row r="308" spans="1:12" x14ac:dyDescent="0.25">
      <c r="A308" s="58">
        <v>43544</v>
      </c>
      <c r="B308" s="57">
        <v>3</v>
      </c>
      <c r="C308" s="57">
        <v>723</v>
      </c>
      <c r="D308" s="59">
        <f t="shared" si="8"/>
        <v>627</v>
      </c>
      <c r="E308" s="60">
        <f t="shared" si="9"/>
        <v>0.72299999999999998</v>
      </c>
      <c r="L308" s="75"/>
    </row>
    <row r="309" spans="1:12" x14ac:dyDescent="0.25">
      <c r="A309" s="58">
        <v>43544</v>
      </c>
      <c r="B309" s="57">
        <v>2</v>
      </c>
      <c r="C309" s="57">
        <v>725</v>
      </c>
      <c r="D309" s="59">
        <f t="shared" si="8"/>
        <v>627</v>
      </c>
      <c r="E309" s="60">
        <f t="shared" si="9"/>
        <v>0.72499999999999998</v>
      </c>
      <c r="L309" s="75"/>
    </row>
    <row r="310" spans="1:12" x14ac:dyDescent="0.25">
      <c r="A310" s="58">
        <v>43544</v>
      </c>
      <c r="B310" s="57">
        <v>1</v>
      </c>
      <c r="C310" s="57">
        <v>726</v>
      </c>
      <c r="D310" s="59">
        <f t="shared" si="8"/>
        <v>627</v>
      </c>
      <c r="E310" s="60">
        <f t="shared" si="9"/>
        <v>0.72599999999999998</v>
      </c>
      <c r="L310" s="75"/>
    </row>
    <row r="311" spans="1:12" x14ac:dyDescent="0.25">
      <c r="A311" s="58">
        <v>43544</v>
      </c>
      <c r="B311" s="57">
        <v>3</v>
      </c>
      <c r="C311" s="57">
        <v>729</v>
      </c>
      <c r="D311" s="59">
        <f t="shared" si="8"/>
        <v>627</v>
      </c>
      <c r="E311" s="60">
        <f t="shared" si="9"/>
        <v>0.72899999999999998</v>
      </c>
      <c r="L311" s="75"/>
    </row>
    <row r="312" spans="1:12" x14ac:dyDescent="0.25">
      <c r="A312" s="58">
        <v>43546</v>
      </c>
      <c r="B312" s="57">
        <v>1</v>
      </c>
      <c r="C312" s="57">
        <v>730</v>
      </c>
      <c r="D312" s="59">
        <f t="shared" si="8"/>
        <v>629</v>
      </c>
      <c r="E312" s="60">
        <f t="shared" si="9"/>
        <v>0.73</v>
      </c>
      <c r="L312" s="75"/>
    </row>
    <row r="313" spans="1:12" x14ac:dyDescent="0.25">
      <c r="A313" s="58">
        <v>43546</v>
      </c>
      <c r="B313" s="57">
        <v>3</v>
      </c>
      <c r="C313" s="57">
        <v>733</v>
      </c>
      <c r="D313" s="59">
        <f t="shared" si="8"/>
        <v>629</v>
      </c>
      <c r="E313" s="60">
        <f t="shared" si="9"/>
        <v>0.73299999999999998</v>
      </c>
      <c r="L313" s="75"/>
    </row>
    <row r="314" spans="1:12" x14ac:dyDescent="0.25">
      <c r="A314" s="58">
        <v>43546</v>
      </c>
      <c r="B314" s="57">
        <v>1</v>
      </c>
      <c r="C314" s="57">
        <v>734</v>
      </c>
      <c r="D314" s="59">
        <f t="shared" si="8"/>
        <v>629</v>
      </c>
      <c r="E314" s="60">
        <f t="shared" si="9"/>
        <v>0.73399999999999999</v>
      </c>
      <c r="L314" s="75"/>
    </row>
    <row r="315" spans="1:12" x14ac:dyDescent="0.25">
      <c r="A315" s="58">
        <v>43546</v>
      </c>
      <c r="B315" s="57">
        <v>1</v>
      </c>
      <c r="C315" s="57">
        <v>735</v>
      </c>
      <c r="D315" s="59">
        <f t="shared" si="8"/>
        <v>629</v>
      </c>
      <c r="E315" s="60">
        <f t="shared" si="9"/>
        <v>0.73499999999999999</v>
      </c>
      <c r="L315" s="75"/>
    </row>
    <row r="316" spans="1:12" x14ac:dyDescent="0.25">
      <c r="A316" s="58">
        <v>43546</v>
      </c>
      <c r="B316" s="57">
        <v>3</v>
      </c>
      <c r="C316" s="57">
        <v>738</v>
      </c>
      <c r="D316" s="59">
        <f t="shared" si="8"/>
        <v>629</v>
      </c>
      <c r="E316" s="60">
        <f t="shared" si="9"/>
        <v>0.73799999999999999</v>
      </c>
      <c r="L316" s="75"/>
    </row>
    <row r="317" spans="1:12" x14ac:dyDescent="0.25">
      <c r="A317" s="58">
        <v>43546</v>
      </c>
      <c r="B317" s="57">
        <v>1</v>
      </c>
      <c r="C317" s="57">
        <v>739</v>
      </c>
      <c r="D317" s="59">
        <f t="shared" si="8"/>
        <v>629</v>
      </c>
      <c r="E317" s="60">
        <f t="shared" si="9"/>
        <v>0.73899999999999999</v>
      </c>
      <c r="L317" s="75"/>
    </row>
    <row r="318" spans="1:12" x14ac:dyDescent="0.25">
      <c r="A318" s="58">
        <v>43546</v>
      </c>
      <c r="B318" s="57">
        <v>1</v>
      </c>
      <c r="C318" s="57">
        <v>740</v>
      </c>
      <c r="D318" s="59">
        <f t="shared" si="8"/>
        <v>629</v>
      </c>
      <c r="E318" s="60">
        <f t="shared" si="9"/>
        <v>0.74</v>
      </c>
      <c r="L318" s="75"/>
    </row>
    <row r="319" spans="1:12" x14ac:dyDescent="0.25">
      <c r="A319" s="58">
        <v>43546</v>
      </c>
      <c r="B319" s="57">
        <v>5</v>
      </c>
      <c r="C319" s="57">
        <v>745</v>
      </c>
      <c r="D319" s="59">
        <f t="shared" si="8"/>
        <v>629</v>
      </c>
      <c r="E319" s="60">
        <f t="shared" si="9"/>
        <v>0.745</v>
      </c>
      <c r="L319" s="75"/>
    </row>
    <row r="320" spans="1:12" x14ac:dyDescent="0.25">
      <c r="A320" s="58">
        <v>43546</v>
      </c>
      <c r="B320" s="57">
        <v>1</v>
      </c>
      <c r="C320" s="57">
        <v>746</v>
      </c>
      <c r="D320" s="59">
        <f t="shared" si="8"/>
        <v>629</v>
      </c>
      <c r="E320" s="60">
        <f t="shared" si="9"/>
        <v>0.746</v>
      </c>
      <c r="L320" s="75"/>
    </row>
    <row r="321" spans="1:12" x14ac:dyDescent="0.25">
      <c r="A321" s="58">
        <v>43546</v>
      </c>
      <c r="B321" s="57">
        <v>2</v>
      </c>
      <c r="C321" s="57">
        <v>748</v>
      </c>
      <c r="D321" s="59">
        <f t="shared" si="8"/>
        <v>629</v>
      </c>
      <c r="E321" s="60">
        <f t="shared" si="9"/>
        <v>0.748</v>
      </c>
      <c r="L321" s="75"/>
    </row>
    <row r="322" spans="1:12" x14ac:dyDescent="0.25">
      <c r="A322" s="58">
        <v>43546</v>
      </c>
      <c r="B322" s="57">
        <v>4</v>
      </c>
      <c r="C322" s="57">
        <v>752</v>
      </c>
      <c r="D322" s="59">
        <f t="shared" si="8"/>
        <v>629</v>
      </c>
      <c r="E322" s="60">
        <f t="shared" si="9"/>
        <v>0.752</v>
      </c>
      <c r="L322" s="75"/>
    </row>
    <row r="323" spans="1:12" x14ac:dyDescent="0.25">
      <c r="A323" s="58">
        <v>43548</v>
      </c>
      <c r="B323" s="57">
        <v>4</v>
      </c>
      <c r="C323" s="57">
        <v>756</v>
      </c>
      <c r="D323" s="59">
        <f t="shared" ref="D323:D386" si="10">A323-$I$3</f>
        <v>631</v>
      </c>
      <c r="E323" s="60">
        <f t="shared" ref="E323:E386" si="11">C323/MAX(C:C)</f>
        <v>0.75600000000000001</v>
      </c>
      <c r="L323" s="75"/>
    </row>
    <row r="324" spans="1:12" x14ac:dyDescent="0.25">
      <c r="A324" s="58">
        <v>43548</v>
      </c>
      <c r="B324" s="57">
        <v>2</v>
      </c>
      <c r="C324" s="57">
        <v>758</v>
      </c>
      <c r="D324" s="59">
        <f t="shared" si="10"/>
        <v>631</v>
      </c>
      <c r="E324" s="60">
        <f t="shared" si="11"/>
        <v>0.75800000000000001</v>
      </c>
      <c r="L324" s="75"/>
    </row>
    <row r="325" spans="1:12" x14ac:dyDescent="0.25">
      <c r="A325" s="58">
        <v>43548</v>
      </c>
      <c r="B325" s="57">
        <v>2</v>
      </c>
      <c r="C325" s="57">
        <v>760</v>
      </c>
      <c r="D325" s="59">
        <f t="shared" si="10"/>
        <v>631</v>
      </c>
      <c r="E325" s="60">
        <f t="shared" si="11"/>
        <v>0.76</v>
      </c>
      <c r="L325" s="75"/>
    </row>
    <row r="326" spans="1:12" x14ac:dyDescent="0.25">
      <c r="A326" s="58">
        <v>43548</v>
      </c>
      <c r="B326" s="57">
        <v>2</v>
      </c>
      <c r="C326" s="57">
        <v>762</v>
      </c>
      <c r="D326" s="59">
        <f t="shared" si="10"/>
        <v>631</v>
      </c>
      <c r="E326" s="60">
        <f t="shared" si="11"/>
        <v>0.76200000000000001</v>
      </c>
      <c r="L326" s="75"/>
    </row>
    <row r="327" spans="1:12" x14ac:dyDescent="0.25">
      <c r="A327" s="58">
        <v>43548</v>
      </c>
      <c r="B327" s="57">
        <v>8</v>
      </c>
      <c r="C327" s="57">
        <v>770</v>
      </c>
      <c r="D327" s="59">
        <f t="shared" si="10"/>
        <v>631</v>
      </c>
      <c r="E327" s="60">
        <f t="shared" si="11"/>
        <v>0.77</v>
      </c>
      <c r="L327" s="75"/>
    </row>
    <row r="328" spans="1:12" x14ac:dyDescent="0.25">
      <c r="A328" s="58">
        <v>43548</v>
      </c>
      <c r="B328" s="57">
        <v>2</v>
      </c>
      <c r="C328" s="57">
        <v>772</v>
      </c>
      <c r="D328" s="59">
        <f t="shared" si="10"/>
        <v>631</v>
      </c>
      <c r="E328" s="60">
        <f t="shared" si="11"/>
        <v>0.77200000000000002</v>
      </c>
      <c r="L328" s="75"/>
    </row>
    <row r="329" spans="1:12" x14ac:dyDescent="0.25">
      <c r="A329" s="58">
        <v>43548</v>
      </c>
      <c r="B329" s="57">
        <v>1</v>
      </c>
      <c r="C329" s="57">
        <v>773</v>
      </c>
      <c r="D329" s="59">
        <f t="shared" si="10"/>
        <v>631</v>
      </c>
      <c r="E329" s="60">
        <f t="shared" si="11"/>
        <v>0.77300000000000002</v>
      </c>
      <c r="L329" s="75"/>
    </row>
    <row r="330" spans="1:12" x14ac:dyDescent="0.25">
      <c r="A330" s="58">
        <v>43548</v>
      </c>
      <c r="B330" s="57">
        <v>1</v>
      </c>
      <c r="C330" s="57">
        <v>774</v>
      </c>
      <c r="D330" s="59">
        <f t="shared" si="10"/>
        <v>631</v>
      </c>
      <c r="E330" s="60">
        <f t="shared" si="11"/>
        <v>0.77400000000000002</v>
      </c>
      <c r="L330" s="75"/>
    </row>
    <row r="331" spans="1:12" x14ac:dyDescent="0.25">
      <c r="A331" s="58">
        <v>43548</v>
      </c>
      <c r="B331" s="57">
        <v>1</v>
      </c>
      <c r="C331" s="57">
        <v>775</v>
      </c>
      <c r="D331" s="59">
        <f t="shared" si="10"/>
        <v>631</v>
      </c>
      <c r="E331" s="60">
        <f t="shared" si="11"/>
        <v>0.77500000000000002</v>
      </c>
      <c r="L331" s="75"/>
    </row>
    <row r="332" spans="1:12" x14ac:dyDescent="0.25">
      <c r="A332" s="58">
        <v>43548</v>
      </c>
      <c r="B332" s="57">
        <v>1</v>
      </c>
      <c r="C332" s="57">
        <v>776</v>
      </c>
      <c r="D332" s="59">
        <f t="shared" si="10"/>
        <v>631</v>
      </c>
      <c r="E332" s="60">
        <f t="shared" si="11"/>
        <v>0.77600000000000002</v>
      </c>
      <c r="L332" s="75"/>
    </row>
    <row r="333" spans="1:12" x14ac:dyDescent="0.25">
      <c r="A333" s="58">
        <v>43548</v>
      </c>
      <c r="B333" s="57">
        <v>1</v>
      </c>
      <c r="C333" s="57">
        <v>777</v>
      </c>
      <c r="D333" s="59">
        <f t="shared" si="10"/>
        <v>631</v>
      </c>
      <c r="E333" s="60">
        <f t="shared" si="11"/>
        <v>0.77700000000000002</v>
      </c>
      <c r="L333" s="75"/>
    </row>
    <row r="334" spans="1:12" x14ac:dyDescent="0.25">
      <c r="A334" s="58">
        <v>43548</v>
      </c>
      <c r="B334" s="57">
        <v>2</v>
      </c>
      <c r="C334" s="57">
        <v>779</v>
      </c>
      <c r="D334" s="59">
        <f t="shared" si="10"/>
        <v>631</v>
      </c>
      <c r="E334" s="60">
        <f t="shared" si="11"/>
        <v>0.77900000000000003</v>
      </c>
      <c r="L334" s="75"/>
    </row>
    <row r="335" spans="1:12" x14ac:dyDescent="0.25">
      <c r="A335" s="58">
        <v>43550</v>
      </c>
      <c r="B335" s="57">
        <v>3</v>
      </c>
      <c r="C335" s="57">
        <v>782</v>
      </c>
      <c r="D335" s="59">
        <f t="shared" si="10"/>
        <v>633</v>
      </c>
      <c r="E335" s="60">
        <f t="shared" si="11"/>
        <v>0.78200000000000003</v>
      </c>
      <c r="L335" s="75"/>
    </row>
    <row r="336" spans="1:12" x14ac:dyDescent="0.25">
      <c r="A336" s="58">
        <v>43550</v>
      </c>
      <c r="B336" s="57">
        <v>1</v>
      </c>
      <c r="C336" s="57">
        <v>783</v>
      </c>
      <c r="D336" s="59">
        <f t="shared" si="10"/>
        <v>633</v>
      </c>
      <c r="E336" s="60">
        <f t="shared" si="11"/>
        <v>0.78300000000000003</v>
      </c>
      <c r="L336" s="75"/>
    </row>
    <row r="337" spans="1:12" x14ac:dyDescent="0.25">
      <c r="A337" s="58">
        <v>43550</v>
      </c>
      <c r="B337" s="57">
        <v>3</v>
      </c>
      <c r="C337" s="57">
        <v>786</v>
      </c>
      <c r="D337" s="59">
        <f t="shared" si="10"/>
        <v>633</v>
      </c>
      <c r="E337" s="60">
        <f t="shared" si="11"/>
        <v>0.78600000000000003</v>
      </c>
      <c r="L337" s="75"/>
    </row>
    <row r="338" spans="1:12" x14ac:dyDescent="0.25">
      <c r="A338" s="58">
        <v>43550</v>
      </c>
      <c r="B338" s="57">
        <v>1</v>
      </c>
      <c r="C338" s="57">
        <v>787</v>
      </c>
      <c r="D338" s="59">
        <f t="shared" si="10"/>
        <v>633</v>
      </c>
      <c r="E338" s="60">
        <f t="shared" si="11"/>
        <v>0.78700000000000003</v>
      </c>
      <c r="L338" s="75"/>
    </row>
    <row r="339" spans="1:12" x14ac:dyDescent="0.25">
      <c r="A339" s="58">
        <v>43550</v>
      </c>
      <c r="B339" s="57">
        <v>2</v>
      </c>
      <c r="C339" s="57">
        <v>789</v>
      </c>
      <c r="D339" s="59">
        <f t="shared" si="10"/>
        <v>633</v>
      </c>
      <c r="E339" s="60">
        <f t="shared" si="11"/>
        <v>0.78900000000000003</v>
      </c>
      <c r="L339" s="75"/>
    </row>
    <row r="340" spans="1:12" x14ac:dyDescent="0.25">
      <c r="A340" s="58">
        <v>43550</v>
      </c>
      <c r="B340" s="57">
        <v>3</v>
      </c>
      <c r="C340" s="57">
        <v>792</v>
      </c>
      <c r="D340" s="59">
        <f t="shared" si="10"/>
        <v>633</v>
      </c>
      <c r="E340" s="60">
        <f t="shared" si="11"/>
        <v>0.79200000000000004</v>
      </c>
      <c r="L340" s="75"/>
    </row>
    <row r="341" spans="1:12" x14ac:dyDescent="0.25">
      <c r="A341" s="58">
        <v>43550</v>
      </c>
      <c r="B341" s="57">
        <v>2</v>
      </c>
      <c r="C341" s="57">
        <v>794</v>
      </c>
      <c r="D341" s="59">
        <f t="shared" si="10"/>
        <v>633</v>
      </c>
      <c r="E341" s="60">
        <f t="shared" si="11"/>
        <v>0.79400000000000004</v>
      </c>
      <c r="L341" s="75"/>
    </row>
    <row r="342" spans="1:12" x14ac:dyDescent="0.25">
      <c r="A342" s="58">
        <v>43550</v>
      </c>
      <c r="B342" s="57">
        <v>3</v>
      </c>
      <c r="C342" s="57">
        <v>797</v>
      </c>
      <c r="D342" s="59">
        <f t="shared" si="10"/>
        <v>633</v>
      </c>
      <c r="E342" s="60">
        <f t="shared" si="11"/>
        <v>0.79700000000000004</v>
      </c>
      <c r="L342" s="75"/>
    </row>
    <row r="343" spans="1:12" x14ac:dyDescent="0.25">
      <c r="A343" s="58">
        <v>43550</v>
      </c>
      <c r="B343" s="57">
        <v>2</v>
      </c>
      <c r="C343" s="57">
        <v>799</v>
      </c>
      <c r="D343" s="59">
        <f t="shared" si="10"/>
        <v>633</v>
      </c>
      <c r="E343" s="60">
        <f t="shared" si="11"/>
        <v>0.79900000000000004</v>
      </c>
      <c r="L343" s="75"/>
    </row>
    <row r="344" spans="1:12" x14ac:dyDescent="0.25">
      <c r="A344" s="58">
        <v>43550</v>
      </c>
      <c r="B344" s="57">
        <v>1</v>
      </c>
      <c r="C344" s="57">
        <v>800</v>
      </c>
      <c r="D344" s="59">
        <f t="shared" si="10"/>
        <v>633</v>
      </c>
      <c r="E344" s="60">
        <f t="shared" si="11"/>
        <v>0.8</v>
      </c>
      <c r="L344" s="75"/>
    </row>
    <row r="345" spans="1:12" x14ac:dyDescent="0.25">
      <c r="A345" s="58">
        <v>43552</v>
      </c>
      <c r="B345" s="57">
        <v>1</v>
      </c>
      <c r="C345" s="57">
        <v>801</v>
      </c>
      <c r="D345" s="59">
        <f t="shared" si="10"/>
        <v>635</v>
      </c>
      <c r="E345" s="60">
        <f t="shared" si="11"/>
        <v>0.80100000000000005</v>
      </c>
      <c r="L345" s="75"/>
    </row>
    <row r="346" spans="1:12" x14ac:dyDescent="0.25">
      <c r="A346" s="58">
        <v>43552</v>
      </c>
      <c r="B346" s="57">
        <v>1</v>
      </c>
      <c r="C346" s="57">
        <v>802</v>
      </c>
      <c r="D346" s="59">
        <f t="shared" si="10"/>
        <v>635</v>
      </c>
      <c r="E346" s="60">
        <f t="shared" si="11"/>
        <v>0.80200000000000005</v>
      </c>
      <c r="L346" s="75"/>
    </row>
    <row r="347" spans="1:12" x14ac:dyDescent="0.25">
      <c r="A347" s="58">
        <v>43552</v>
      </c>
      <c r="B347" s="57">
        <v>3</v>
      </c>
      <c r="C347" s="57">
        <v>805</v>
      </c>
      <c r="D347" s="59">
        <f t="shared" si="10"/>
        <v>635</v>
      </c>
      <c r="E347" s="60">
        <f t="shared" si="11"/>
        <v>0.80500000000000005</v>
      </c>
      <c r="L347" s="75"/>
    </row>
    <row r="348" spans="1:12" x14ac:dyDescent="0.25">
      <c r="A348" s="58">
        <v>43554</v>
      </c>
      <c r="B348" s="57">
        <v>3</v>
      </c>
      <c r="C348" s="57">
        <v>808</v>
      </c>
      <c r="D348" s="59">
        <f t="shared" si="10"/>
        <v>637</v>
      </c>
      <c r="E348" s="60">
        <f t="shared" si="11"/>
        <v>0.80800000000000005</v>
      </c>
      <c r="L348" s="75"/>
    </row>
    <row r="349" spans="1:12" x14ac:dyDescent="0.25">
      <c r="A349" s="58">
        <v>43554</v>
      </c>
      <c r="B349" s="57">
        <v>1</v>
      </c>
      <c r="C349" s="57">
        <v>809</v>
      </c>
      <c r="D349" s="59">
        <f t="shared" si="10"/>
        <v>637</v>
      </c>
      <c r="E349" s="60">
        <f t="shared" si="11"/>
        <v>0.80900000000000005</v>
      </c>
      <c r="L349" s="75"/>
    </row>
    <row r="350" spans="1:12" x14ac:dyDescent="0.25">
      <c r="A350" s="58">
        <v>43554</v>
      </c>
      <c r="B350" s="57">
        <v>2</v>
      </c>
      <c r="C350" s="57">
        <v>811</v>
      </c>
      <c r="D350" s="59">
        <f t="shared" si="10"/>
        <v>637</v>
      </c>
      <c r="E350" s="60">
        <f t="shared" si="11"/>
        <v>0.81100000000000005</v>
      </c>
      <c r="L350" s="75"/>
    </row>
    <row r="351" spans="1:12" x14ac:dyDescent="0.25">
      <c r="A351" s="58">
        <v>43554</v>
      </c>
      <c r="B351" s="57">
        <v>1</v>
      </c>
      <c r="C351" s="57">
        <v>812</v>
      </c>
      <c r="D351" s="59">
        <f t="shared" si="10"/>
        <v>637</v>
      </c>
      <c r="E351" s="60">
        <f t="shared" si="11"/>
        <v>0.81200000000000006</v>
      </c>
      <c r="L351" s="75"/>
    </row>
    <row r="352" spans="1:12" x14ac:dyDescent="0.25">
      <c r="A352" s="58">
        <v>43554</v>
      </c>
      <c r="B352" s="57">
        <v>4</v>
      </c>
      <c r="C352" s="57">
        <v>816</v>
      </c>
      <c r="D352" s="59">
        <f t="shared" si="10"/>
        <v>637</v>
      </c>
      <c r="E352" s="60">
        <f t="shared" si="11"/>
        <v>0.81599999999999995</v>
      </c>
      <c r="L352" s="75"/>
    </row>
    <row r="353" spans="1:12" x14ac:dyDescent="0.25">
      <c r="A353" s="58">
        <v>43554</v>
      </c>
      <c r="B353" s="57">
        <v>1</v>
      </c>
      <c r="C353" s="57">
        <v>817</v>
      </c>
      <c r="D353" s="59">
        <f t="shared" si="10"/>
        <v>637</v>
      </c>
      <c r="E353" s="60">
        <f t="shared" si="11"/>
        <v>0.81699999999999995</v>
      </c>
      <c r="L353" s="75"/>
    </row>
    <row r="354" spans="1:12" x14ac:dyDescent="0.25">
      <c r="A354" s="58">
        <v>43554</v>
      </c>
      <c r="B354" s="57">
        <v>4</v>
      </c>
      <c r="C354" s="57">
        <v>821</v>
      </c>
      <c r="D354" s="59">
        <f t="shared" si="10"/>
        <v>637</v>
      </c>
      <c r="E354" s="60">
        <f t="shared" si="11"/>
        <v>0.82099999999999995</v>
      </c>
      <c r="L354" s="75"/>
    </row>
    <row r="355" spans="1:12" x14ac:dyDescent="0.25">
      <c r="A355" s="58">
        <v>43554</v>
      </c>
      <c r="B355" s="57">
        <v>1</v>
      </c>
      <c r="C355" s="57">
        <v>822</v>
      </c>
      <c r="D355" s="59">
        <f t="shared" si="10"/>
        <v>637</v>
      </c>
      <c r="E355" s="60">
        <f t="shared" si="11"/>
        <v>0.82199999999999995</v>
      </c>
      <c r="L355" s="75"/>
    </row>
    <row r="356" spans="1:12" x14ac:dyDescent="0.25">
      <c r="A356" s="58">
        <v>43554</v>
      </c>
      <c r="B356" s="57">
        <v>2</v>
      </c>
      <c r="C356" s="57">
        <v>824</v>
      </c>
      <c r="D356" s="59">
        <f t="shared" si="10"/>
        <v>637</v>
      </c>
      <c r="E356" s="60">
        <f t="shared" si="11"/>
        <v>0.82399999999999995</v>
      </c>
      <c r="L356" s="75"/>
    </row>
    <row r="357" spans="1:12" x14ac:dyDescent="0.25">
      <c r="A357" s="58">
        <v>43556</v>
      </c>
      <c r="B357" s="57">
        <v>2</v>
      </c>
      <c r="C357" s="57">
        <v>826</v>
      </c>
      <c r="D357" s="59">
        <f t="shared" si="10"/>
        <v>639</v>
      </c>
      <c r="E357" s="60">
        <f t="shared" si="11"/>
        <v>0.82599999999999996</v>
      </c>
      <c r="L357" s="75"/>
    </row>
    <row r="358" spans="1:12" x14ac:dyDescent="0.25">
      <c r="A358" s="58">
        <v>43556</v>
      </c>
      <c r="B358" s="57">
        <v>1</v>
      </c>
      <c r="C358" s="57">
        <v>827</v>
      </c>
      <c r="D358" s="59">
        <f t="shared" si="10"/>
        <v>639</v>
      </c>
      <c r="E358" s="60">
        <f t="shared" si="11"/>
        <v>0.82699999999999996</v>
      </c>
      <c r="L358" s="75"/>
    </row>
    <row r="359" spans="1:12" x14ac:dyDescent="0.25">
      <c r="A359" s="58">
        <v>43556</v>
      </c>
      <c r="B359" s="57">
        <v>5</v>
      </c>
      <c r="C359" s="57">
        <v>832</v>
      </c>
      <c r="D359" s="59">
        <f t="shared" si="10"/>
        <v>639</v>
      </c>
      <c r="E359" s="60">
        <f t="shared" si="11"/>
        <v>0.83199999999999996</v>
      </c>
      <c r="L359" s="75"/>
    </row>
    <row r="360" spans="1:12" x14ac:dyDescent="0.25">
      <c r="A360" s="58">
        <v>43556</v>
      </c>
      <c r="B360" s="57">
        <v>5</v>
      </c>
      <c r="C360" s="57">
        <v>837</v>
      </c>
      <c r="D360" s="59">
        <f t="shared" si="10"/>
        <v>639</v>
      </c>
      <c r="E360" s="60">
        <f t="shared" si="11"/>
        <v>0.83699999999999997</v>
      </c>
      <c r="L360" s="75"/>
    </row>
    <row r="361" spans="1:12" x14ac:dyDescent="0.25">
      <c r="A361" s="58">
        <v>43556</v>
      </c>
      <c r="B361" s="57">
        <v>2</v>
      </c>
      <c r="C361" s="57">
        <v>839</v>
      </c>
      <c r="D361" s="59">
        <f t="shared" si="10"/>
        <v>639</v>
      </c>
      <c r="E361" s="60">
        <f t="shared" si="11"/>
        <v>0.83899999999999997</v>
      </c>
      <c r="L361" s="75"/>
    </row>
    <row r="362" spans="1:12" x14ac:dyDescent="0.25">
      <c r="A362" s="58">
        <v>43556</v>
      </c>
      <c r="B362" s="57">
        <v>3</v>
      </c>
      <c r="C362" s="57">
        <v>842</v>
      </c>
      <c r="D362" s="59">
        <f t="shared" si="10"/>
        <v>639</v>
      </c>
      <c r="E362" s="60">
        <f t="shared" si="11"/>
        <v>0.84199999999999997</v>
      </c>
      <c r="L362" s="75"/>
    </row>
    <row r="363" spans="1:12" x14ac:dyDescent="0.25">
      <c r="A363" s="58">
        <v>43556</v>
      </c>
      <c r="B363" s="57">
        <v>4</v>
      </c>
      <c r="C363" s="57">
        <v>846</v>
      </c>
      <c r="D363" s="59">
        <f t="shared" si="10"/>
        <v>639</v>
      </c>
      <c r="E363" s="60">
        <f t="shared" si="11"/>
        <v>0.84599999999999997</v>
      </c>
      <c r="L363" s="75"/>
    </row>
    <row r="364" spans="1:12" x14ac:dyDescent="0.25">
      <c r="A364" s="58">
        <v>43556</v>
      </c>
      <c r="B364" s="57">
        <v>3</v>
      </c>
      <c r="C364" s="57">
        <v>849</v>
      </c>
      <c r="D364" s="59">
        <f t="shared" si="10"/>
        <v>639</v>
      </c>
      <c r="E364" s="60">
        <f t="shared" si="11"/>
        <v>0.84899999999999998</v>
      </c>
      <c r="L364" s="75"/>
    </row>
    <row r="365" spans="1:12" x14ac:dyDescent="0.25">
      <c r="A365" s="58">
        <v>43556</v>
      </c>
      <c r="B365" s="57">
        <v>2</v>
      </c>
      <c r="C365" s="57">
        <v>851</v>
      </c>
      <c r="D365" s="59">
        <f t="shared" si="10"/>
        <v>639</v>
      </c>
      <c r="E365" s="60">
        <f t="shared" si="11"/>
        <v>0.85099999999999998</v>
      </c>
      <c r="L365" s="75"/>
    </row>
    <row r="366" spans="1:12" x14ac:dyDescent="0.25">
      <c r="A366" s="58">
        <v>43556</v>
      </c>
      <c r="B366" s="57">
        <v>1</v>
      </c>
      <c r="C366" s="57">
        <v>852</v>
      </c>
      <c r="D366" s="59">
        <f t="shared" si="10"/>
        <v>639</v>
      </c>
      <c r="E366" s="60">
        <f t="shared" si="11"/>
        <v>0.85199999999999998</v>
      </c>
      <c r="L366" s="75"/>
    </row>
    <row r="367" spans="1:12" x14ac:dyDescent="0.25">
      <c r="A367" s="58">
        <v>43558</v>
      </c>
      <c r="B367" s="57">
        <v>3</v>
      </c>
      <c r="C367" s="57">
        <v>855</v>
      </c>
      <c r="D367" s="59">
        <f t="shared" si="10"/>
        <v>641</v>
      </c>
      <c r="E367" s="60">
        <f t="shared" si="11"/>
        <v>0.85499999999999998</v>
      </c>
      <c r="L367" s="75"/>
    </row>
    <row r="368" spans="1:12" x14ac:dyDescent="0.25">
      <c r="A368" s="58">
        <v>43558</v>
      </c>
      <c r="B368" s="57">
        <v>4</v>
      </c>
      <c r="C368" s="57">
        <v>859</v>
      </c>
      <c r="D368" s="59">
        <f t="shared" si="10"/>
        <v>641</v>
      </c>
      <c r="E368" s="60">
        <f t="shared" si="11"/>
        <v>0.85899999999999999</v>
      </c>
      <c r="L368" s="75"/>
    </row>
    <row r="369" spans="1:12" x14ac:dyDescent="0.25">
      <c r="A369" s="58">
        <v>43558</v>
      </c>
      <c r="B369" s="57">
        <v>2</v>
      </c>
      <c r="C369" s="57">
        <v>861</v>
      </c>
      <c r="D369" s="59">
        <f t="shared" si="10"/>
        <v>641</v>
      </c>
      <c r="E369" s="60">
        <f t="shared" si="11"/>
        <v>0.86099999999999999</v>
      </c>
      <c r="L369" s="75"/>
    </row>
    <row r="370" spans="1:12" x14ac:dyDescent="0.25">
      <c r="A370" s="58">
        <v>43558</v>
      </c>
      <c r="B370" s="57">
        <v>1</v>
      </c>
      <c r="C370" s="57">
        <v>862</v>
      </c>
      <c r="D370" s="59">
        <f t="shared" si="10"/>
        <v>641</v>
      </c>
      <c r="E370" s="60">
        <f t="shared" si="11"/>
        <v>0.86199999999999999</v>
      </c>
      <c r="L370" s="75"/>
    </row>
    <row r="371" spans="1:12" x14ac:dyDescent="0.25">
      <c r="A371" s="58">
        <v>43558</v>
      </c>
      <c r="B371" s="57">
        <v>1</v>
      </c>
      <c r="C371" s="57">
        <v>863</v>
      </c>
      <c r="D371" s="59">
        <f t="shared" si="10"/>
        <v>641</v>
      </c>
      <c r="E371" s="60">
        <f t="shared" si="11"/>
        <v>0.86299999999999999</v>
      </c>
      <c r="L371" s="75"/>
    </row>
    <row r="372" spans="1:12" x14ac:dyDescent="0.25">
      <c r="A372" s="58">
        <v>43558</v>
      </c>
      <c r="B372" s="57">
        <v>2</v>
      </c>
      <c r="C372" s="57">
        <v>865</v>
      </c>
      <c r="D372" s="59">
        <f t="shared" si="10"/>
        <v>641</v>
      </c>
      <c r="E372" s="60">
        <f t="shared" si="11"/>
        <v>0.86499999999999999</v>
      </c>
      <c r="L372" s="75"/>
    </row>
    <row r="373" spans="1:12" x14ac:dyDescent="0.25">
      <c r="A373" s="58">
        <v>43558</v>
      </c>
      <c r="B373" s="57">
        <v>1</v>
      </c>
      <c r="C373" s="57">
        <v>866</v>
      </c>
      <c r="D373" s="59">
        <f t="shared" si="10"/>
        <v>641</v>
      </c>
      <c r="E373" s="60">
        <f t="shared" si="11"/>
        <v>0.86599999999999999</v>
      </c>
      <c r="L373" s="75"/>
    </row>
    <row r="374" spans="1:12" x14ac:dyDescent="0.25">
      <c r="A374" s="58">
        <v>43558</v>
      </c>
      <c r="B374" s="57">
        <v>1</v>
      </c>
      <c r="C374" s="57">
        <v>867</v>
      </c>
      <c r="D374" s="59">
        <f t="shared" si="10"/>
        <v>641</v>
      </c>
      <c r="E374" s="60">
        <f t="shared" si="11"/>
        <v>0.86699999999999999</v>
      </c>
      <c r="L374" s="75"/>
    </row>
    <row r="375" spans="1:12" x14ac:dyDescent="0.25">
      <c r="A375" s="58">
        <v>43558</v>
      </c>
      <c r="B375" s="57">
        <v>1</v>
      </c>
      <c r="C375" s="57">
        <v>868</v>
      </c>
      <c r="D375" s="59">
        <f t="shared" si="10"/>
        <v>641</v>
      </c>
      <c r="E375" s="60">
        <f t="shared" si="11"/>
        <v>0.86799999999999999</v>
      </c>
      <c r="L375" s="75"/>
    </row>
    <row r="376" spans="1:12" x14ac:dyDescent="0.25">
      <c r="A376" s="58">
        <v>43558</v>
      </c>
      <c r="B376" s="57">
        <v>1</v>
      </c>
      <c r="C376" s="57">
        <v>869</v>
      </c>
      <c r="D376" s="59">
        <f t="shared" si="10"/>
        <v>641</v>
      </c>
      <c r="E376" s="60">
        <f t="shared" si="11"/>
        <v>0.86899999999999999</v>
      </c>
      <c r="L376" s="75"/>
    </row>
    <row r="377" spans="1:12" x14ac:dyDescent="0.25">
      <c r="A377" s="58">
        <v>43558</v>
      </c>
      <c r="B377" s="57">
        <v>1</v>
      </c>
      <c r="C377" s="57">
        <v>870</v>
      </c>
      <c r="D377" s="59">
        <f t="shared" si="10"/>
        <v>641</v>
      </c>
      <c r="E377" s="60">
        <f t="shared" si="11"/>
        <v>0.87</v>
      </c>
      <c r="L377" s="75"/>
    </row>
    <row r="378" spans="1:12" x14ac:dyDescent="0.25">
      <c r="A378" s="58">
        <v>43560</v>
      </c>
      <c r="B378" s="57">
        <v>4</v>
      </c>
      <c r="C378" s="57">
        <v>874</v>
      </c>
      <c r="D378" s="59">
        <f t="shared" si="10"/>
        <v>643</v>
      </c>
      <c r="E378" s="60">
        <f t="shared" si="11"/>
        <v>0.874</v>
      </c>
      <c r="L378" s="75"/>
    </row>
    <row r="379" spans="1:12" x14ac:dyDescent="0.25">
      <c r="A379" s="58">
        <v>43560</v>
      </c>
      <c r="B379" s="57">
        <v>1</v>
      </c>
      <c r="C379" s="57">
        <v>875</v>
      </c>
      <c r="D379" s="59">
        <f t="shared" si="10"/>
        <v>643</v>
      </c>
      <c r="E379" s="60">
        <f t="shared" si="11"/>
        <v>0.875</v>
      </c>
      <c r="L379" s="75"/>
    </row>
    <row r="380" spans="1:12" x14ac:dyDescent="0.25">
      <c r="A380" s="58">
        <v>43560</v>
      </c>
      <c r="B380" s="57">
        <v>1</v>
      </c>
      <c r="C380" s="57">
        <v>876</v>
      </c>
      <c r="D380" s="59">
        <f t="shared" si="10"/>
        <v>643</v>
      </c>
      <c r="E380" s="60">
        <f t="shared" si="11"/>
        <v>0.876</v>
      </c>
      <c r="L380" s="75"/>
    </row>
    <row r="381" spans="1:12" x14ac:dyDescent="0.25">
      <c r="A381" s="58">
        <v>43560</v>
      </c>
      <c r="B381" s="57">
        <v>1</v>
      </c>
      <c r="C381" s="57">
        <v>877</v>
      </c>
      <c r="D381" s="59">
        <f t="shared" si="10"/>
        <v>643</v>
      </c>
      <c r="E381" s="60">
        <f t="shared" si="11"/>
        <v>0.877</v>
      </c>
      <c r="L381" s="75"/>
    </row>
    <row r="382" spans="1:12" x14ac:dyDescent="0.25">
      <c r="A382" s="58">
        <v>43562</v>
      </c>
      <c r="B382" s="57">
        <v>3</v>
      </c>
      <c r="C382" s="57">
        <v>880</v>
      </c>
      <c r="D382" s="59">
        <f t="shared" si="10"/>
        <v>645</v>
      </c>
      <c r="E382" s="60">
        <f t="shared" si="11"/>
        <v>0.88</v>
      </c>
      <c r="L382" s="75"/>
    </row>
    <row r="383" spans="1:12" x14ac:dyDescent="0.25">
      <c r="A383" s="58">
        <v>43562</v>
      </c>
      <c r="B383" s="57">
        <v>3</v>
      </c>
      <c r="C383" s="57">
        <v>883</v>
      </c>
      <c r="D383" s="59">
        <f t="shared" si="10"/>
        <v>645</v>
      </c>
      <c r="E383" s="60">
        <f t="shared" si="11"/>
        <v>0.88300000000000001</v>
      </c>
      <c r="L383" s="75"/>
    </row>
    <row r="384" spans="1:12" x14ac:dyDescent="0.25">
      <c r="A384" s="58">
        <v>43562</v>
      </c>
      <c r="B384" s="57">
        <v>1</v>
      </c>
      <c r="C384" s="57">
        <v>884</v>
      </c>
      <c r="D384" s="59">
        <f t="shared" si="10"/>
        <v>645</v>
      </c>
      <c r="E384" s="60">
        <f t="shared" si="11"/>
        <v>0.88400000000000001</v>
      </c>
      <c r="L384" s="75"/>
    </row>
    <row r="385" spans="1:12" x14ac:dyDescent="0.25">
      <c r="A385" s="58">
        <v>43562</v>
      </c>
      <c r="B385" s="57">
        <v>2</v>
      </c>
      <c r="C385" s="57">
        <v>886</v>
      </c>
      <c r="D385" s="59">
        <f t="shared" si="10"/>
        <v>645</v>
      </c>
      <c r="E385" s="60">
        <f t="shared" si="11"/>
        <v>0.88600000000000001</v>
      </c>
      <c r="L385" s="75"/>
    </row>
    <row r="386" spans="1:12" x14ac:dyDescent="0.25">
      <c r="A386" s="58">
        <v>43564</v>
      </c>
      <c r="B386" s="57">
        <v>1</v>
      </c>
      <c r="C386" s="57">
        <v>887</v>
      </c>
      <c r="D386" s="59">
        <f t="shared" si="10"/>
        <v>647</v>
      </c>
      <c r="E386" s="60">
        <f t="shared" si="11"/>
        <v>0.88700000000000001</v>
      </c>
      <c r="L386" s="75"/>
    </row>
    <row r="387" spans="1:12" x14ac:dyDescent="0.25">
      <c r="A387" s="58">
        <v>43564</v>
      </c>
      <c r="B387" s="57">
        <v>1</v>
      </c>
      <c r="C387" s="57">
        <v>888</v>
      </c>
      <c r="D387" s="59">
        <f t="shared" ref="D387:D450" si="12">A387-$I$3</f>
        <v>647</v>
      </c>
      <c r="E387" s="60">
        <f t="shared" ref="E387:E450" si="13">C387/MAX(C:C)</f>
        <v>0.88800000000000001</v>
      </c>
      <c r="L387" s="75"/>
    </row>
    <row r="388" spans="1:12" x14ac:dyDescent="0.25">
      <c r="A388" s="58">
        <v>43564</v>
      </c>
      <c r="B388" s="57">
        <v>1</v>
      </c>
      <c r="C388" s="57">
        <v>889</v>
      </c>
      <c r="D388" s="59">
        <f t="shared" si="12"/>
        <v>647</v>
      </c>
      <c r="E388" s="60">
        <f t="shared" si="13"/>
        <v>0.88900000000000001</v>
      </c>
      <c r="L388" s="75"/>
    </row>
    <row r="389" spans="1:12" x14ac:dyDescent="0.25">
      <c r="A389" s="58">
        <v>43564</v>
      </c>
      <c r="B389" s="57">
        <v>1</v>
      </c>
      <c r="C389" s="57">
        <v>890</v>
      </c>
      <c r="D389" s="59">
        <f t="shared" si="12"/>
        <v>647</v>
      </c>
      <c r="E389" s="60">
        <f t="shared" si="13"/>
        <v>0.89</v>
      </c>
      <c r="L389" s="75"/>
    </row>
    <row r="390" spans="1:12" x14ac:dyDescent="0.25">
      <c r="A390" s="58">
        <v>43564</v>
      </c>
      <c r="B390" s="57">
        <v>1</v>
      </c>
      <c r="C390" s="57">
        <v>891</v>
      </c>
      <c r="D390" s="59">
        <f t="shared" si="12"/>
        <v>647</v>
      </c>
      <c r="E390" s="60">
        <f t="shared" si="13"/>
        <v>0.89100000000000001</v>
      </c>
      <c r="L390" s="75"/>
    </row>
    <row r="391" spans="1:12" x14ac:dyDescent="0.25">
      <c r="A391" s="58">
        <v>43564</v>
      </c>
      <c r="B391" s="57">
        <v>1</v>
      </c>
      <c r="C391" s="57">
        <v>892</v>
      </c>
      <c r="D391" s="59">
        <f t="shared" si="12"/>
        <v>647</v>
      </c>
      <c r="E391" s="60">
        <f t="shared" si="13"/>
        <v>0.89200000000000002</v>
      </c>
      <c r="L391" s="75"/>
    </row>
    <row r="392" spans="1:12" x14ac:dyDescent="0.25">
      <c r="A392" s="58">
        <v>43564</v>
      </c>
      <c r="B392" s="57">
        <v>3</v>
      </c>
      <c r="C392" s="57">
        <v>895</v>
      </c>
      <c r="D392" s="59">
        <f t="shared" si="12"/>
        <v>647</v>
      </c>
      <c r="E392" s="60">
        <f t="shared" si="13"/>
        <v>0.89500000000000002</v>
      </c>
      <c r="L392" s="75"/>
    </row>
    <row r="393" spans="1:12" x14ac:dyDescent="0.25">
      <c r="A393" s="58">
        <v>43566</v>
      </c>
      <c r="B393" s="57">
        <v>3</v>
      </c>
      <c r="C393" s="57">
        <v>898</v>
      </c>
      <c r="D393" s="59">
        <f t="shared" si="12"/>
        <v>649</v>
      </c>
      <c r="E393" s="60">
        <f t="shared" si="13"/>
        <v>0.89800000000000002</v>
      </c>
      <c r="L393" s="75"/>
    </row>
    <row r="394" spans="1:12" x14ac:dyDescent="0.25">
      <c r="A394" s="58">
        <v>43566</v>
      </c>
      <c r="B394" s="57">
        <v>1</v>
      </c>
      <c r="C394" s="57">
        <v>899</v>
      </c>
      <c r="D394" s="59">
        <f t="shared" si="12"/>
        <v>649</v>
      </c>
      <c r="E394" s="60">
        <f t="shared" si="13"/>
        <v>0.89900000000000002</v>
      </c>
      <c r="L394" s="75"/>
    </row>
    <row r="395" spans="1:12" x14ac:dyDescent="0.25">
      <c r="A395" s="58">
        <v>43566</v>
      </c>
      <c r="B395" s="57">
        <v>3</v>
      </c>
      <c r="C395" s="57">
        <v>902</v>
      </c>
      <c r="D395" s="59">
        <f t="shared" si="12"/>
        <v>649</v>
      </c>
      <c r="E395" s="60">
        <f t="shared" si="13"/>
        <v>0.90200000000000002</v>
      </c>
      <c r="L395" s="75"/>
    </row>
    <row r="396" spans="1:12" x14ac:dyDescent="0.25">
      <c r="A396" s="58">
        <v>43566</v>
      </c>
      <c r="B396" s="57">
        <v>1</v>
      </c>
      <c r="C396" s="57">
        <v>903</v>
      </c>
      <c r="D396" s="59">
        <f t="shared" si="12"/>
        <v>649</v>
      </c>
      <c r="E396" s="60">
        <f t="shared" si="13"/>
        <v>0.90300000000000002</v>
      </c>
      <c r="L396" s="75"/>
    </row>
    <row r="397" spans="1:12" x14ac:dyDescent="0.25">
      <c r="A397" s="58">
        <v>43566</v>
      </c>
      <c r="B397" s="57">
        <v>2</v>
      </c>
      <c r="C397" s="57">
        <v>905</v>
      </c>
      <c r="D397" s="59">
        <f t="shared" si="12"/>
        <v>649</v>
      </c>
      <c r="E397" s="60">
        <f t="shared" si="13"/>
        <v>0.90500000000000003</v>
      </c>
      <c r="L397" s="75"/>
    </row>
    <row r="398" spans="1:12" x14ac:dyDescent="0.25">
      <c r="A398" s="58">
        <v>43566</v>
      </c>
      <c r="B398" s="57">
        <v>2</v>
      </c>
      <c r="C398" s="57">
        <v>907</v>
      </c>
      <c r="D398" s="59">
        <f t="shared" si="12"/>
        <v>649</v>
      </c>
      <c r="E398" s="60">
        <f t="shared" si="13"/>
        <v>0.90700000000000003</v>
      </c>
      <c r="L398" s="75"/>
    </row>
    <row r="399" spans="1:12" x14ac:dyDescent="0.25">
      <c r="A399" s="58">
        <v>43566</v>
      </c>
      <c r="B399" s="57">
        <v>2</v>
      </c>
      <c r="C399" s="57">
        <v>909</v>
      </c>
      <c r="D399" s="59">
        <f t="shared" si="12"/>
        <v>649</v>
      </c>
      <c r="E399" s="60">
        <f t="shared" si="13"/>
        <v>0.90900000000000003</v>
      </c>
      <c r="L399" s="75"/>
    </row>
    <row r="400" spans="1:12" x14ac:dyDescent="0.25">
      <c r="A400" s="58">
        <v>43566</v>
      </c>
      <c r="B400" s="57">
        <v>3</v>
      </c>
      <c r="C400" s="57">
        <v>912</v>
      </c>
      <c r="D400" s="59">
        <f t="shared" si="12"/>
        <v>649</v>
      </c>
      <c r="E400" s="60">
        <f t="shared" si="13"/>
        <v>0.91200000000000003</v>
      </c>
      <c r="L400" s="75"/>
    </row>
    <row r="401" spans="1:12" x14ac:dyDescent="0.25">
      <c r="A401" s="58">
        <v>43566</v>
      </c>
      <c r="B401" s="57">
        <v>1</v>
      </c>
      <c r="C401" s="57">
        <v>913</v>
      </c>
      <c r="D401" s="59">
        <f t="shared" si="12"/>
        <v>649</v>
      </c>
      <c r="E401" s="60">
        <f t="shared" si="13"/>
        <v>0.91300000000000003</v>
      </c>
      <c r="L401" s="75"/>
    </row>
    <row r="402" spans="1:12" x14ac:dyDescent="0.25">
      <c r="A402" s="58">
        <v>43566</v>
      </c>
      <c r="B402" s="57">
        <v>1</v>
      </c>
      <c r="C402" s="57">
        <v>914</v>
      </c>
      <c r="D402" s="59">
        <f t="shared" si="12"/>
        <v>649</v>
      </c>
      <c r="E402" s="60">
        <f t="shared" si="13"/>
        <v>0.91400000000000003</v>
      </c>
      <c r="L402" s="75"/>
    </row>
    <row r="403" spans="1:12" x14ac:dyDescent="0.25">
      <c r="A403" s="58">
        <v>43566</v>
      </c>
      <c r="B403" s="57">
        <v>1</v>
      </c>
      <c r="C403" s="57">
        <v>915</v>
      </c>
      <c r="D403" s="59">
        <f t="shared" si="12"/>
        <v>649</v>
      </c>
      <c r="E403" s="60">
        <f t="shared" si="13"/>
        <v>0.91500000000000004</v>
      </c>
      <c r="L403" s="75"/>
    </row>
    <row r="404" spans="1:12" x14ac:dyDescent="0.25">
      <c r="A404" s="58">
        <v>43568</v>
      </c>
      <c r="B404" s="57">
        <v>2</v>
      </c>
      <c r="C404" s="57">
        <v>917</v>
      </c>
      <c r="D404" s="59">
        <f t="shared" si="12"/>
        <v>651</v>
      </c>
      <c r="E404" s="60">
        <f t="shared" si="13"/>
        <v>0.91700000000000004</v>
      </c>
      <c r="L404" s="75"/>
    </row>
    <row r="405" spans="1:12" x14ac:dyDescent="0.25">
      <c r="A405" s="58">
        <v>43568</v>
      </c>
      <c r="B405" s="57">
        <v>2</v>
      </c>
      <c r="C405" s="57">
        <v>919</v>
      </c>
      <c r="D405" s="59">
        <f t="shared" si="12"/>
        <v>651</v>
      </c>
      <c r="E405" s="60">
        <f t="shared" si="13"/>
        <v>0.91900000000000004</v>
      </c>
      <c r="L405" s="75"/>
    </row>
    <row r="406" spans="1:12" x14ac:dyDescent="0.25">
      <c r="A406" s="58">
        <v>43568</v>
      </c>
      <c r="B406" s="57">
        <v>1</v>
      </c>
      <c r="C406" s="57">
        <v>920</v>
      </c>
      <c r="D406" s="59">
        <f t="shared" si="12"/>
        <v>651</v>
      </c>
      <c r="E406" s="60">
        <f t="shared" si="13"/>
        <v>0.92</v>
      </c>
      <c r="L406" s="75"/>
    </row>
    <row r="407" spans="1:12" x14ac:dyDescent="0.25">
      <c r="A407" s="58">
        <v>43568</v>
      </c>
      <c r="B407" s="57">
        <v>2</v>
      </c>
      <c r="C407" s="57">
        <v>922</v>
      </c>
      <c r="D407" s="59">
        <f t="shared" si="12"/>
        <v>651</v>
      </c>
      <c r="E407" s="60">
        <f t="shared" si="13"/>
        <v>0.92200000000000004</v>
      </c>
      <c r="L407" s="75"/>
    </row>
    <row r="408" spans="1:12" x14ac:dyDescent="0.25">
      <c r="A408" s="58">
        <v>43568</v>
      </c>
      <c r="B408" s="57">
        <v>3</v>
      </c>
      <c r="C408" s="57">
        <v>925</v>
      </c>
      <c r="D408" s="59">
        <f t="shared" si="12"/>
        <v>651</v>
      </c>
      <c r="E408" s="60">
        <f t="shared" si="13"/>
        <v>0.92500000000000004</v>
      </c>
      <c r="L408" s="75"/>
    </row>
    <row r="409" spans="1:12" x14ac:dyDescent="0.25">
      <c r="A409" s="58">
        <v>43568</v>
      </c>
      <c r="B409" s="57">
        <v>1</v>
      </c>
      <c r="C409" s="57">
        <v>926</v>
      </c>
      <c r="D409" s="59">
        <f t="shared" si="12"/>
        <v>651</v>
      </c>
      <c r="E409" s="60">
        <f t="shared" si="13"/>
        <v>0.92600000000000005</v>
      </c>
      <c r="L409" s="75"/>
    </row>
    <row r="410" spans="1:12" x14ac:dyDescent="0.25">
      <c r="A410" s="58">
        <v>43568</v>
      </c>
      <c r="B410" s="57">
        <v>1</v>
      </c>
      <c r="C410" s="57">
        <v>927</v>
      </c>
      <c r="D410" s="59">
        <f t="shared" si="12"/>
        <v>651</v>
      </c>
      <c r="E410" s="60">
        <f t="shared" si="13"/>
        <v>0.92700000000000005</v>
      </c>
      <c r="L410" s="75"/>
    </row>
    <row r="411" spans="1:12" x14ac:dyDescent="0.25">
      <c r="A411" s="58">
        <v>43568</v>
      </c>
      <c r="B411" s="57">
        <v>2</v>
      </c>
      <c r="C411" s="57">
        <v>929</v>
      </c>
      <c r="D411" s="59">
        <f t="shared" si="12"/>
        <v>651</v>
      </c>
      <c r="E411" s="60">
        <f t="shared" si="13"/>
        <v>0.92900000000000005</v>
      </c>
      <c r="L411" s="75"/>
    </row>
    <row r="412" spans="1:12" x14ac:dyDescent="0.25">
      <c r="A412" s="58">
        <v>43570</v>
      </c>
      <c r="B412" s="57">
        <v>1</v>
      </c>
      <c r="C412" s="57">
        <v>930</v>
      </c>
      <c r="D412" s="59">
        <f t="shared" si="12"/>
        <v>653</v>
      </c>
      <c r="E412" s="60">
        <f t="shared" si="13"/>
        <v>0.93</v>
      </c>
      <c r="L412" s="75"/>
    </row>
    <row r="413" spans="1:12" x14ac:dyDescent="0.25">
      <c r="A413" s="58">
        <v>43570</v>
      </c>
      <c r="B413" s="57">
        <v>1</v>
      </c>
      <c r="C413" s="57">
        <v>931</v>
      </c>
      <c r="D413" s="59">
        <f t="shared" si="12"/>
        <v>653</v>
      </c>
      <c r="E413" s="60">
        <f t="shared" si="13"/>
        <v>0.93100000000000005</v>
      </c>
      <c r="L413" s="75"/>
    </row>
    <row r="414" spans="1:12" x14ac:dyDescent="0.25">
      <c r="A414" s="58">
        <v>43570</v>
      </c>
      <c r="B414" s="57">
        <v>1</v>
      </c>
      <c r="C414" s="57">
        <v>932</v>
      </c>
      <c r="D414" s="59">
        <f t="shared" si="12"/>
        <v>653</v>
      </c>
      <c r="E414" s="60">
        <f t="shared" si="13"/>
        <v>0.93200000000000005</v>
      </c>
      <c r="L414" s="75"/>
    </row>
    <row r="415" spans="1:12" x14ac:dyDescent="0.25">
      <c r="A415" s="58">
        <v>43570</v>
      </c>
      <c r="B415" s="57">
        <v>1</v>
      </c>
      <c r="C415" s="57">
        <v>933</v>
      </c>
      <c r="D415" s="59">
        <f t="shared" si="12"/>
        <v>653</v>
      </c>
      <c r="E415" s="60">
        <f t="shared" si="13"/>
        <v>0.93300000000000005</v>
      </c>
      <c r="L415" s="75"/>
    </row>
    <row r="416" spans="1:12" x14ac:dyDescent="0.25">
      <c r="A416" s="58">
        <v>43570</v>
      </c>
      <c r="B416" s="57">
        <v>1</v>
      </c>
      <c r="C416" s="57">
        <v>934</v>
      </c>
      <c r="D416" s="59">
        <f t="shared" si="12"/>
        <v>653</v>
      </c>
      <c r="E416" s="60">
        <f t="shared" si="13"/>
        <v>0.93400000000000005</v>
      </c>
      <c r="L416" s="75"/>
    </row>
    <row r="417" spans="1:12" x14ac:dyDescent="0.25">
      <c r="A417" s="58">
        <v>43572</v>
      </c>
      <c r="B417" s="57">
        <v>1</v>
      </c>
      <c r="C417" s="57">
        <v>935</v>
      </c>
      <c r="D417" s="59">
        <f t="shared" si="12"/>
        <v>655</v>
      </c>
      <c r="E417" s="60">
        <f t="shared" si="13"/>
        <v>0.93500000000000005</v>
      </c>
      <c r="L417" s="75"/>
    </row>
    <row r="418" spans="1:12" x14ac:dyDescent="0.25">
      <c r="A418" s="58">
        <v>43572</v>
      </c>
      <c r="B418" s="57">
        <v>1</v>
      </c>
      <c r="C418" s="57">
        <v>936</v>
      </c>
      <c r="D418" s="59">
        <f t="shared" si="12"/>
        <v>655</v>
      </c>
      <c r="E418" s="60">
        <f t="shared" si="13"/>
        <v>0.93600000000000005</v>
      </c>
      <c r="L418" s="75"/>
    </row>
    <row r="419" spans="1:12" x14ac:dyDescent="0.25">
      <c r="A419" s="58">
        <v>43572</v>
      </c>
      <c r="B419" s="57">
        <v>1</v>
      </c>
      <c r="C419" s="57">
        <v>937</v>
      </c>
      <c r="D419" s="59">
        <f t="shared" si="12"/>
        <v>655</v>
      </c>
      <c r="E419" s="60">
        <f t="shared" si="13"/>
        <v>0.93700000000000006</v>
      </c>
      <c r="L419" s="75"/>
    </row>
    <row r="420" spans="1:12" x14ac:dyDescent="0.25">
      <c r="A420" s="58">
        <v>43572</v>
      </c>
      <c r="B420" s="57">
        <v>1</v>
      </c>
      <c r="C420" s="57">
        <v>938</v>
      </c>
      <c r="D420" s="59">
        <f t="shared" si="12"/>
        <v>655</v>
      </c>
      <c r="E420" s="60">
        <f t="shared" si="13"/>
        <v>0.93799999999999994</v>
      </c>
      <c r="L420" s="75"/>
    </row>
    <row r="421" spans="1:12" x14ac:dyDescent="0.25">
      <c r="A421" s="58">
        <v>43574</v>
      </c>
      <c r="B421" s="57">
        <v>3</v>
      </c>
      <c r="C421" s="57">
        <v>941</v>
      </c>
      <c r="D421" s="59">
        <f t="shared" si="12"/>
        <v>657</v>
      </c>
      <c r="E421" s="60">
        <f t="shared" si="13"/>
        <v>0.94099999999999995</v>
      </c>
      <c r="L421" s="75"/>
    </row>
    <row r="422" spans="1:12" x14ac:dyDescent="0.25">
      <c r="A422" s="58">
        <v>43574</v>
      </c>
      <c r="B422" s="57">
        <v>1</v>
      </c>
      <c r="C422" s="57">
        <v>942</v>
      </c>
      <c r="D422" s="59">
        <f t="shared" si="12"/>
        <v>657</v>
      </c>
      <c r="E422" s="60">
        <f t="shared" si="13"/>
        <v>0.94199999999999995</v>
      </c>
      <c r="L422" s="75"/>
    </row>
    <row r="423" spans="1:12" x14ac:dyDescent="0.25">
      <c r="A423" s="58">
        <v>43574</v>
      </c>
      <c r="B423" s="57">
        <v>1</v>
      </c>
      <c r="C423" s="57">
        <v>943</v>
      </c>
      <c r="D423" s="59">
        <f t="shared" si="12"/>
        <v>657</v>
      </c>
      <c r="E423" s="60">
        <f t="shared" si="13"/>
        <v>0.94299999999999995</v>
      </c>
      <c r="L423" s="75"/>
    </row>
    <row r="424" spans="1:12" x14ac:dyDescent="0.25">
      <c r="A424" s="58">
        <v>43574</v>
      </c>
      <c r="B424" s="57">
        <v>1</v>
      </c>
      <c r="C424" s="57">
        <v>944</v>
      </c>
      <c r="D424" s="59">
        <f t="shared" si="12"/>
        <v>657</v>
      </c>
      <c r="E424" s="60">
        <f t="shared" si="13"/>
        <v>0.94399999999999995</v>
      </c>
      <c r="L424" s="75"/>
    </row>
    <row r="425" spans="1:12" x14ac:dyDescent="0.25">
      <c r="A425" s="58">
        <v>43574</v>
      </c>
      <c r="B425" s="57">
        <v>1</v>
      </c>
      <c r="C425" s="57">
        <v>945</v>
      </c>
      <c r="D425" s="59">
        <f t="shared" si="12"/>
        <v>657</v>
      </c>
      <c r="E425" s="60">
        <f t="shared" si="13"/>
        <v>0.94499999999999995</v>
      </c>
      <c r="L425" s="75"/>
    </row>
    <row r="426" spans="1:12" x14ac:dyDescent="0.25">
      <c r="A426" s="58">
        <v>43574</v>
      </c>
      <c r="B426" s="57">
        <v>3</v>
      </c>
      <c r="C426" s="57">
        <v>948</v>
      </c>
      <c r="D426" s="59">
        <f t="shared" si="12"/>
        <v>657</v>
      </c>
      <c r="E426" s="60">
        <f t="shared" si="13"/>
        <v>0.94799999999999995</v>
      </c>
      <c r="L426" s="75"/>
    </row>
    <row r="427" spans="1:12" x14ac:dyDescent="0.25">
      <c r="A427" s="58">
        <v>43576</v>
      </c>
      <c r="B427" s="57">
        <v>1</v>
      </c>
      <c r="C427" s="57">
        <v>949</v>
      </c>
      <c r="D427" s="59">
        <f t="shared" si="12"/>
        <v>659</v>
      </c>
      <c r="E427" s="60">
        <f t="shared" si="13"/>
        <v>0.94899999999999995</v>
      </c>
      <c r="L427" s="75"/>
    </row>
    <row r="428" spans="1:12" x14ac:dyDescent="0.25">
      <c r="A428" s="58">
        <v>43576</v>
      </c>
      <c r="B428" s="57">
        <v>1</v>
      </c>
      <c r="C428" s="57">
        <v>950</v>
      </c>
      <c r="D428" s="59">
        <f t="shared" si="12"/>
        <v>659</v>
      </c>
      <c r="E428" s="60">
        <f t="shared" si="13"/>
        <v>0.95</v>
      </c>
      <c r="L428" s="75"/>
    </row>
    <row r="429" spans="1:12" x14ac:dyDescent="0.25">
      <c r="A429" s="58">
        <v>43576</v>
      </c>
      <c r="B429" s="57">
        <v>5</v>
      </c>
      <c r="C429" s="57">
        <v>955</v>
      </c>
      <c r="D429" s="59">
        <f t="shared" si="12"/>
        <v>659</v>
      </c>
      <c r="E429" s="60">
        <f t="shared" si="13"/>
        <v>0.95499999999999996</v>
      </c>
      <c r="L429" s="75"/>
    </row>
    <row r="430" spans="1:12" x14ac:dyDescent="0.25">
      <c r="A430" s="58">
        <v>43576</v>
      </c>
      <c r="B430" s="57">
        <v>2</v>
      </c>
      <c r="C430" s="57">
        <v>957</v>
      </c>
      <c r="D430" s="59">
        <f t="shared" si="12"/>
        <v>659</v>
      </c>
      <c r="E430" s="60">
        <f t="shared" si="13"/>
        <v>0.95699999999999996</v>
      </c>
      <c r="L430" s="75"/>
    </row>
    <row r="431" spans="1:12" x14ac:dyDescent="0.25">
      <c r="A431" s="58">
        <v>43576</v>
      </c>
      <c r="B431" s="57">
        <v>1</v>
      </c>
      <c r="C431" s="57">
        <v>958</v>
      </c>
      <c r="D431" s="59">
        <f t="shared" si="12"/>
        <v>659</v>
      </c>
      <c r="E431" s="60">
        <f t="shared" si="13"/>
        <v>0.95799999999999996</v>
      </c>
      <c r="L431" s="75"/>
    </row>
    <row r="432" spans="1:12" x14ac:dyDescent="0.25">
      <c r="A432" s="58">
        <v>43576</v>
      </c>
      <c r="B432" s="57">
        <v>1</v>
      </c>
      <c r="C432" s="57">
        <v>959</v>
      </c>
      <c r="D432" s="59">
        <f t="shared" si="12"/>
        <v>659</v>
      </c>
      <c r="E432" s="60">
        <f t="shared" si="13"/>
        <v>0.95899999999999996</v>
      </c>
      <c r="L432" s="75"/>
    </row>
    <row r="433" spans="1:12" x14ac:dyDescent="0.25">
      <c r="A433" s="58">
        <v>43578</v>
      </c>
      <c r="B433" s="57">
        <v>1</v>
      </c>
      <c r="C433" s="57">
        <v>960</v>
      </c>
      <c r="D433" s="59">
        <f t="shared" si="12"/>
        <v>661</v>
      </c>
      <c r="E433" s="60">
        <f t="shared" si="13"/>
        <v>0.96</v>
      </c>
      <c r="L433" s="75"/>
    </row>
    <row r="434" spans="1:12" x14ac:dyDescent="0.25">
      <c r="A434" s="58">
        <v>43578</v>
      </c>
      <c r="B434" s="57">
        <v>1</v>
      </c>
      <c r="C434" s="57">
        <v>961</v>
      </c>
      <c r="D434" s="59">
        <f t="shared" si="12"/>
        <v>661</v>
      </c>
      <c r="E434" s="60">
        <f t="shared" si="13"/>
        <v>0.96099999999999997</v>
      </c>
      <c r="L434" s="75"/>
    </row>
    <row r="435" spans="1:12" x14ac:dyDescent="0.25">
      <c r="A435" s="58">
        <v>43578</v>
      </c>
      <c r="B435" s="57">
        <v>1</v>
      </c>
      <c r="C435" s="57">
        <v>962</v>
      </c>
      <c r="D435" s="59">
        <f t="shared" si="12"/>
        <v>661</v>
      </c>
      <c r="E435" s="60">
        <f t="shared" si="13"/>
        <v>0.96199999999999997</v>
      </c>
      <c r="L435" s="75"/>
    </row>
    <row r="436" spans="1:12" x14ac:dyDescent="0.25">
      <c r="A436" s="58">
        <v>43578</v>
      </c>
      <c r="B436" s="57">
        <v>1</v>
      </c>
      <c r="C436" s="57">
        <v>963</v>
      </c>
      <c r="D436" s="59">
        <f t="shared" si="12"/>
        <v>661</v>
      </c>
      <c r="E436" s="60">
        <f t="shared" si="13"/>
        <v>0.96299999999999997</v>
      </c>
      <c r="L436" s="75"/>
    </row>
    <row r="437" spans="1:12" x14ac:dyDescent="0.25">
      <c r="A437" s="58">
        <v>43578</v>
      </c>
      <c r="B437" s="57">
        <v>1</v>
      </c>
      <c r="C437" s="57">
        <v>964</v>
      </c>
      <c r="D437" s="59">
        <f t="shared" si="12"/>
        <v>661</v>
      </c>
      <c r="E437" s="60">
        <f t="shared" si="13"/>
        <v>0.96399999999999997</v>
      </c>
      <c r="L437" s="75"/>
    </row>
    <row r="438" spans="1:12" x14ac:dyDescent="0.25">
      <c r="A438" s="58">
        <v>43578</v>
      </c>
      <c r="B438" s="57">
        <v>1</v>
      </c>
      <c r="C438" s="57">
        <v>965</v>
      </c>
      <c r="D438" s="59">
        <f t="shared" si="12"/>
        <v>661</v>
      </c>
      <c r="E438" s="60">
        <f t="shared" si="13"/>
        <v>0.96499999999999997</v>
      </c>
      <c r="L438" s="75"/>
    </row>
    <row r="439" spans="1:12" x14ac:dyDescent="0.25">
      <c r="A439" s="58">
        <v>43580</v>
      </c>
      <c r="B439" s="57">
        <v>2</v>
      </c>
      <c r="C439" s="57">
        <v>967</v>
      </c>
      <c r="D439" s="59">
        <f t="shared" si="12"/>
        <v>663</v>
      </c>
      <c r="E439" s="60">
        <f t="shared" si="13"/>
        <v>0.96699999999999997</v>
      </c>
      <c r="L439" s="75"/>
    </row>
    <row r="440" spans="1:12" x14ac:dyDescent="0.25">
      <c r="A440" s="58">
        <v>43582</v>
      </c>
      <c r="B440" s="57">
        <v>1</v>
      </c>
      <c r="C440" s="57">
        <v>968</v>
      </c>
      <c r="D440" s="59">
        <f t="shared" si="12"/>
        <v>665</v>
      </c>
      <c r="E440" s="60">
        <f t="shared" si="13"/>
        <v>0.96799999999999997</v>
      </c>
      <c r="L440" s="75"/>
    </row>
    <row r="441" spans="1:12" x14ac:dyDescent="0.25">
      <c r="A441" s="58">
        <v>43582</v>
      </c>
      <c r="B441" s="57">
        <v>1</v>
      </c>
      <c r="C441" s="57">
        <v>969</v>
      </c>
      <c r="D441" s="59">
        <f t="shared" si="12"/>
        <v>665</v>
      </c>
      <c r="E441" s="60">
        <f t="shared" si="13"/>
        <v>0.96899999999999997</v>
      </c>
      <c r="L441" s="75"/>
    </row>
    <row r="442" spans="1:12" x14ac:dyDescent="0.25">
      <c r="A442" s="58">
        <v>43582</v>
      </c>
      <c r="B442" s="57">
        <v>1</v>
      </c>
      <c r="C442" s="57">
        <v>970</v>
      </c>
      <c r="D442" s="59">
        <f t="shared" si="12"/>
        <v>665</v>
      </c>
      <c r="E442" s="60">
        <f t="shared" si="13"/>
        <v>0.97</v>
      </c>
      <c r="L442" s="75"/>
    </row>
    <row r="443" spans="1:12" x14ac:dyDescent="0.25">
      <c r="A443" s="58">
        <v>43582</v>
      </c>
      <c r="B443" s="57">
        <v>1</v>
      </c>
      <c r="C443" s="57">
        <v>971</v>
      </c>
      <c r="D443" s="59">
        <f t="shared" si="12"/>
        <v>665</v>
      </c>
      <c r="E443" s="60">
        <f t="shared" si="13"/>
        <v>0.97099999999999997</v>
      </c>
      <c r="L443" s="75"/>
    </row>
    <row r="444" spans="1:12" x14ac:dyDescent="0.25">
      <c r="A444" s="58">
        <v>43582</v>
      </c>
      <c r="B444" s="57">
        <v>1</v>
      </c>
      <c r="C444" s="57">
        <v>972</v>
      </c>
      <c r="D444" s="59">
        <f t="shared" si="12"/>
        <v>665</v>
      </c>
      <c r="E444" s="60">
        <f t="shared" si="13"/>
        <v>0.97199999999999998</v>
      </c>
      <c r="L444" s="75"/>
    </row>
    <row r="445" spans="1:12" x14ac:dyDescent="0.25">
      <c r="A445" s="58">
        <v>43584</v>
      </c>
      <c r="B445" s="57">
        <v>1</v>
      </c>
      <c r="C445" s="57">
        <v>973</v>
      </c>
      <c r="D445" s="59">
        <f t="shared" si="12"/>
        <v>667</v>
      </c>
      <c r="E445" s="60">
        <f t="shared" si="13"/>
        <v>0.97299999999999998</v>
      </c>
      <c r="L445" s="75"/>
    </row>
    <row r="446" spans="1:12" x14ac:dyDescent="0.25">
      <c r="A446" s="58">
        <v>43584</v>
      </c>
      <c r="B446" s="57">
        <v>1</v>
      </c>
      <c r="C446" s="57">
        <v>974</v>
      </c>
      <c r="D446" s="59">
        <f t="shared" si="12"/>
        <v>667</v>
      </c>
      <c r="E446" s="60">
        <f t="shared" si="13"/>
        <v>0.97399999999999998</v>
      </c>
      <c r="L446" s="75"/>
    </row>
    <row r="447" spans="1:12" x14ac:dyDescent="0.25">
      <c r="A447" s="58">
        <v>43584</v>
      </c>
      <c r="B447" s="57">
        <v>2</v>
      </c>
      <c r="C447" s="57">
        <v>976</v>
      </c>
      <c r="D447" s="59">
        <f t="shared" si="12"/>
        <v>667</v>
      </c>
      <c r="E447" s="60">
        <f t="shared" si="13"/>
        <v>0.97599999999999998</v>
      </c>
      <c r="L447" s="75"/>
    </row>
    <row r="448" spans="1:12" x14ac:dyDescent="0.25">
      <c r="A448" s="58">
        <v>43586</v>
      </c>
      <c r="B448" s="57">
        <v>1</v>
      </c>
      <c r="C448" s="57">
        <v>977</v>
      </c>
      <c r="D448" s="59">
        <f t="shared" si="12"/>
        <v>669</v>
      </c>
      <c r="E448" s="60">
        <f t="shared" si="13"/>
        <v>0.97699999999999998</v>
      </c>
      <c r="L448" s="75"/>
    </row>
    <row r="449" spans="1:12" x14ac:dyDescent="0.25">
      <c r="A449" s="58">
        <v>43586</v>
      </c>
      <c r="B449" s="57">
        <v>2</v>
      </c>
      <c r="C449" s="57">
        <v>979</v>
      </c>
      <c r="D449" s="59">
        <f t="shared" si="12"/>
        <v>669</v>
      </c>
      <c r="E449" s="60">
        <f t="shared" si="13"/>
        <v>0.97899999999999998</v>
      </c>
      <c r="L449" s="75"/>
    </row>
    <row r="450" spans="1:12" x14ac:dyDescent="0.25">
      <c r="A450" s="58">
        <v>43586</v>
      </c>
      <c r="B450" s="57">
        <v>1</v>
      </c>
      <c r="C450" s="57">
        <v>980</v>
      </c>
      <c r="D450" s="59">
        <f t="shared" si="12"/>
        <v>669</v>
      </c>
      <c r="E450" s="60">
        <f t="shared" si="13"/>
        <v>0.98</v>
      </c>
      <c r="L450" s="75"/>
    </row>
    <row r="451" spans="1:12" x14ac:dyDescent="0.25">
      <c r="A451" s="58">
        <v>43588</v>
      </c>
      <c r="B451" s="57">
        <v>1</v>
      </c>
      <c r="C451" s="57">
        <v>981</v>
      </c>
      <c r="D451" s="59">
        <f t="shared" ref="D451:D466" si="14">A451-$I$3</f>
        <v>671</v>
      </c>
      <c r="E451" s="60">
        <f t="shared" ref="E451:E466" si="15">C451/MAX(C:C)</f>
        <v>0.98099999999999998</v>
      </c>
      <c r="L451" s="75"/>
    </row>
    <row r="452" spans="1:12" x14ac:dyDescent="0.25">
      <c r="A452" s="58">
        <v>43590</v>
      </c>
      <c r="B452" s="57">
        <v>1</v>
      </c>
      <c r="C452" s="57">
        <v>982</v>
      </c>
      <c r="D452" s="59">
        <f t="shared" si="14"/>
        <v>673</v>
      </c>
      <c r="E452" s="60">
        <f t="shared" si="15"/>
        <v>0.98199999999999998</v>
      </c>
      <c r="L452" s="75"/>
    </row>
    <row r="453" spans="1:12" x14ac:dyDescent="0.25">
      <c r="A453" s="58">
        <v>43592</v>
      </c>
      <c r="B453" s="57">
        <v>1</v>
      </c>
      <c r="C453" s="57">
        <v>983</v>
      </c>
      <c r="D453" s="59">
        <f t="shared" si="14"/>
        <v>675</v>
      </c>
      <c r="E453" s="60">
        <f t="shared" si="15"/>
        <v>0.98299999999999998</v>
      </c>
      <c r="L453" s="75"/>
    </row>
    <row r="454" spans="1:12" x14ac:dyDescent="0.25">
      <c r="A454" s="58">
        <v>43592</v>
      </c>
      <c r="B454" s="57">
        <v>1</v>
      </c>
      <c r="C454" s="57">
        <v>984</v>
      </c>
      <c r="D454" s="59">
        <f t="shared" si="14"/>
        <v>675</v>
      </c>
      <c r="E454" s="60">
        <f t="shared" si="15"/>
        <v>0.98399999999999999</v>
      </c>
      <c r="L454" s="75"/>
    </row>
    <row r="455" spans="1:12" x14ac:dyDescent="0.25">
      <c r="A455" s="58">
        <v>43592</v>
      </c>
      <c r="B455" s="57">
        <v>2</v>
      </c>
      <c r="C455" s="57">
        <v>986</v>
      </c>
      <c r="D455" s="59">
        <f t="shared" si="14"/>
        <v>675</v>
      </c>
      <c r="E455" s="60">
        <f t="shared" si="15"/>
        <v>0.98599999999999999</v>
      </c>
      <c r="L455" s="75"/>
    </row>
    <row r="456" spans="1:12" x14ac:dyDescent="0.25">
      <c r="A456" s="58">
        <v>43594</v>
      </c>
      <c r="B456" s="57">
        <v>1</v>
      </c>
      <c r="C456" s="57">
        <v>987</v>
      </c>
      <c r="D456" s="59">
        <f t="shared" si="14"/>
        <v>677</v>
      </c>
      <c r="E456" s="60">
        <f t="shared" si="15"/>
        <v>0.98699999999999999</v>
      </c>
      <c r="L456" s="75"/>
    </row>
    <row r="457" spans="1:12" x14ac:dyDescent="0.25">
      <c r="A457" s="58">
        <v>43594</v>
      </c>
      <c r="B457" s="57">
        <v>1</v>
      </c>
      <c r="C457" s="57">
        <v>988</v>
      </c>
      <c r="D457" s="59">
        <f t="shared" si="14"/>
        <v>677</v>
      </c>
      <c r="E457" s="60">
        <f t="shared" si="15"/>
        <v>0.98799999999999999</v>
      </c>
      <c r="L457" s="75"/>
    </row>
    <row r="458" spans="1:12" x14ac:dyDescent="0.25">
      <c r="A458" s="58">
        <v>43596</v>
      </c>
      <c r="B458" s="57">
        <v>1</v>
      </c>
      <c r="C458" s="57">
        <v>989</v>
      </c>
      <c r="D458" s="59">
        <f t="shared" si="14"/>
        <v>679</v>
      </c>
      <c r="E458" s="60">
        <f t="shared" si="15"/>
        <v>0.98899999999999999</v>
      </c>
      <c r="L458" s="75"/>
    </row>
    <row r="459" spans="1:12" x14ac:dyDescent="0.25">
      <c r="A459" s="58">
        <v>43596</v>
      </c>
      <c r="B459" s="57">
        <v>2</v>
      </c>
      <c r="C459" s="57">
        <v>991</v>
      </c>
      <c r="D459" s="59">
        <f t="shared" si="14"/>
        <v>679</v>
      </c>
      <c r="E459" s="60">
        <f t="shared" si="15"/>
        <v>0.99099999999999999</v>
      </c>
      <c r="L459" s="75"/>
    </row>
    <row r="460" spans="1:12" x14ac:dyDescent="0.25">
      <c r="A460" s="58">
        <v>43596</v>
      </c>
      <c r="B460" s="57">
        <v>2</v>
      </c>
      <c r="C460" s="57">
        <v>993</v>
      </c>
      <c r="D460" s="59">
        <f t="shared" si="14"/>
        <v>679</v>
      </c>
      <c r="E460" s="60">
        <f t="shared" si="15"/>
        <v>0.99299999999999999</v>
      </c>
      <c r="L460" s="75"/>
    </row>
    <row r="461" spans="1:12" x14ac:dyDescent="0.25">
      <c r="A461" s="58">
        <v>43600</v>
      </c>
      <c r="B461" s="57">
        <v>1</v>
      </c>
      <c r="C461" s="57">
        <v>994</v>
      </c>
      <c r="D461" s="59">
        <f t="shared" si="14"/>
        <v>683</v>
      </c>
      <c r="E461" s="60">
        <f t="shared" si="15"/>
        <v>0.99399999999999999</v>
      </c>
      <c r="L461" s="75"/>
    </row>
    <row r="462" spans="1:12" x14ac:dyDescent="0.25">
      <c r="A462" s="58">
        <v>43600</v>
      </c>
      <c r="B462" s="57">
        <v>1</v>
      </c>
      <c r="C462" s="57">
        <v>995</v>
      </c>
      <c r="D462" s="59">
        <f t="shared" si="14"/>
        <v>683</v>
      </c>
      <c r="E462" s="60">
        <f t="shared" si="15"/>
        <v>0.995</v>
      </c>
      <c r="L462" s="75"/>
    </row>
    <row r="463" spans="1:12" x14ac:dyDescent="0.25">
      <c r="A463" s="58">
        <v>43602</v>
      </c>
      <c r="B463" s="57">
        <v>2</v>
      </c>
      <c r="C463" s="57">
        <v>997</v>
      </c>
      <c r="D463" s="59">
        <f t="shared" si="14"/>
        <v>685</v>
      </c>
      <c r="E463" s="60">
        <f t="shared" si="15"/>
        <v>0.997</v>
      </c>
      <c r="L463" s="75"/>
    </row>
    <row r="464" spans="1:12" x14ac:dyDescent="0.25">
      <c r="A464" s="58">
        <v>43602</v>
      </c>
      <c r="B464" s="57">
        <v>1</v>
      </c>
      <c r="C464" s="57">
        <v>998</v>
      </c>
      <c r="D464" s="59">
        <f t="shared" si="14"/>
        <v>685</v>
      </c>
      <c r="E464" s="60">
        <f t="shared" si="15"/>
        <v>0.998</v>
      </c>
      <c r="L464" s="75"/>
    </row>
    <row r="465" spans="1:12" x14ac:dyDescent="0.25">
      <c r="A465" s="58">
        <v>43602</v>
      </c>
      <c r="B465" s="57">
        <v>1</v>
      </c>
      <c r="C465" s="57">
        <v>999</v>
      </c>
      <c r="D465" s="59">
        <f t="shared" si="14"/>
        <v>685</v>
      </c>
      <c r="E465" s="60">
        <f t="shared" si="15"/>
        <v>0.999</v>
      </c>
      <c r="L465" s="75"/>
    </row>
    <row r="466" spans="1:12" x14ac:dyDescent="0.25">
      <c r="A466" s="58">
        <v>43604</v>
      </c>
      <c r="B466" s="57">
        <v>1</v>
      </c>
      <c r="C466" s="57">
        <v>1000</v>
      </c>
      <c r="D466" s="59">
        <f t="shared" si="14"/>
        <v>687</v>
      </c>
      <c r="E466" s="60">
        <f t="shared" si="15"/>
        <v>1</v>
      </c>
      <c r="L466" s="75"/>
    </row>
    <row r="467" spans="1:12" x14ac:dyDescent="0.25">
      <c r="A467" s="58"/>
      <c r="B467" s="57"/>
      <c r="C467" s="57"/>
      <c r="D467" s="59"/>
      <c r="E467" s="60"/>
    </row>
    <row r="468" spans="1:12" x14ac:dyDescent="0.25">
      <c r="A468" s="58"/>
      <c r="B468" s="57"/>
      <c r="C468" s="57"/>
      <c r="D468" s="59"/>
      <c r="E468" s="60"/>
    </row>
    <row r="469" spans="1:12" x14ac:dyDescent="0.25">
      <c r="A469" s="58"/>
      <c r="B469" s="57"/>
      <c r="C469" s="57"/>
      <c r="D469" s="59"/>
      <c r="E469" s="60"/>
    </row>
    <row r="470" spans="1:12" x14ac:dyDescent="0.25">
      <c r="A470" s="58"/>
      <c r="B470" s="57"/>
      <c r="C470" s="57"/>
      <c r="D470" s="59"/>
      <c r="E470" s="60"/>
    </row>
    <row r="471" spans="1:12" x14ac:dyDescent="0.25">
      <c r="A471" s="58"/>
      <c r="B471" s="57"/>
      <c r="C471" s="57"/>
      <c r="D471" s="59"/>
      <c r="E471" s="60"/>
    </row>
    <row r="472" spans="1:12" x14ac:dyDescent="0.25">
      <c r="A472" s="58"/>
      <c r="B472" s="57"/>
      <c r="C472" s="57"/>
      <c r="D472" s="59"/>
      <c r="E472" s="60"/>
    </row>
    <row r="473" spans="1:12" x14ac:dyDescent="0.25">
      <c r="A473" s="58"/>
      <c r="B473" s="57"/>
      <c r="C473" s="57"/>
      <c r="D473" s="59"/>
      <c r="E473" s="60"/>
    </row>
    <row r="474" spans="1:12" x14ac:dyDescent="0.25">
      <c r="A474" s="58"/>
      <c r="B474" s="57"/>
      <c r="C474" s="57"/>
      <c r="D474" s="59"/>
      <c r="E474" s="60"/>
    </row>
    <row r="475" spans="1:12" x14ac:dyDescent="0.25">
      <c r="A475" s="58"/>
      <c r="B475" s="57"/>
      <c r="C475" s="57"/>
      <c r="D475" s="59"/>
      <c r="E475" s="60"/>
    </row>
    <row r="476" spans="1:12" x14ac:dyDescent="0.25">
      <c r="A476" s="58"/>
      <c r="B476" s="57"/>
      <c r="C476" s="57"/>
      <c r="D476" s="59"/>
      <c r="E476" s="60"/>
    </row>
    <row r="477" spans="1:12" x14ac:dyDescent="0.25">
      <c r="A477" s="58"/>
      <c r="B477" s="57"/>
      <c r="C477" s="57"/>
      <c r="D477" s="59"/>
      <c r="E477" s="60"/>
    </row>
    <row r="478" spans="1:12" x14ac:dyDescent="0.25">
      <c r="A478" s="58"/>
      <c r="B478" s="57"/>
      <c r="C478" s="57"/>
      <c r="D478" s="59"/>
      <c r="E478" s="60"/>
    </row>
    <row r="479" spans="1:12" x14ac:dyDescent="0.25">
      <c r="A479" s="58"/>
      <c r="B479" s="57"/>
      <c r="C479" s="57"/>
      <c r="D479" s="59"/>
      <c r="E479" s="60"/>
    </row>
    <row r="480" spans="1:12" x14ac:dyDescent="0.25">
      <c r="A480" s="58"/>
      <c r="B480" s="57"/>
      <c r="C480" s="57"/>
      <c r="D480" s="59"/>
      <c r="E480" s="60"/>
    </row>
    <row r="481" spans="1:5" x14ac:dyDescent="0.25">
      <c r="A481" s="58"/>
      <c r="B481" s="57"/>
      <c r="C481" s="57"/>
      <c r="D481" s="59"/>
      <c r="E481" s="60"/>
    </row>
    <row r="482" spans="1:5" x14ac:dyDescent="0.25">
      <c r="A482" s="58"/>
      <c r="B482" s="57"/>
      <c r="C482" s="57"/>
      <c r="D482" s="59"/>
      <c r="E482" s="60"/>
    </row>
    <row r="483" spans="1:5" x14ac:dyDescent="0.25">
      <c r="A483" s="58"/>
      <c r="B483" s="57"/>
      <c r="C483" s="57"/>
      <c r="D483" s="59"/>
      <c r="E483" s="60"/>
    </row>
    <row r="484" spans="1:5" x14ac:dyDescent="0.25">
      <c r="A484" s="58"/>
      <c r="B484" s="57"/>
      <c r="C484" s="57"/>
      <c r="D484" s="59"/>
      <c r="E484" s="60"/>
    </row>
    <row r="485" spans="1:5" x14ac:dyDescent="0.25">
      <c r="A485" s="58"/>
      <c r="B485" s="57"/>
      <c r="C485" s="57"/>
      <c r="D485" s="59"/>
      <c r="E485" s="60"/>
    </row>
    <row r="486" spans="1:5" x14ac:dyDescent="0.25">
      <c r="A486" s="58"/>
      <c r="B486" s="57"/>
      <c r="C486" s="57"/>
      <c r="D486" s="59"/>
      <c r="E486" s="60"/>
    </row>
    <row r="487" spans="1:5" x14ac:dyDescent="0.25">
      <c r="A487" s="58"/>
      <c r="B487" s="57"/>
      <c r="C487" s="57"/>
      <c r="D487" s="59"/>
      <c r="E487" s="60"/>
    </row>
    <row r="488" spans="1:5" x14ac:dyDescent="0.25">
      <c r="A488" s="58"/>
      <c r="B488" s="57"/>
      <c r="C488" s="57"/>
      <c r="D488" s="59"/>
      <c r="E488" s="60"/>
    </row>
    <row r="489" spans="1:5" x14ac:dyDescent="0.25">
      <c r="A489" s="58"/>
      <c r="B489" s="57"/>
      <c r="C489" s="57"/>
      <c r="D489" s="59"/>
      <c r="E489" s="60"/>
    </row>
    <row r="490" spans="1:5" x14ac:dyDescent="0.25">
      <c r="A490" s="58"/>
      <c r="B490" s="57"/>
      <c r="C490" s="57"/>
      <c r="D490" s="59"/>
      <c r="E490" s="60"/>
    </row>
    <row r="491" spans="1:5" x14ac:dyDescent="0.25">
      <c r="A491" s="58"/>
      <c r="B491" s="57"/>
      <c r="C491" s="57"/>
      <c r="D491" s="59"/>
      <c r="E491" s="60"/>
    </row>
    <row r="492" spans="1:5" x14ac:dyDescent="0.25">
      <c r="A492" s="58"/>
      <c r="B492" s="57"/>
      <c r="C492" s="57"/>
      <c r="D492" s="59"/>
      <c r="E492" s="60"/>
    </row>
    <row r="493" spans="1:5" x14ac:dyDescent="0.25">
      <c r="A493" s="58"/>
      <c r="B493" s="57"/>
      <c r="C493" s="57"/>
      <c r="D493" s="59"/>
      <c r="E493" s="60"/>
    </row>
    <row r="494" spans="1:5" x14ac:dyDescent="0.25">
      <c r="A494" s="58"/>
      <c r="B494" s="57"/>
      <c r="C494" s="57"/>
      <c r="D494" s="59"/>
      <c r="E494" s="60"/>
    </row>
    <row r="495" spans="1:5" x14ac:dyDescent="0.25">
      <c r="A495" s="58"/>
      <c r="B495" s="57"/>
      <c r="C495" s="57"/>
      <c r="D495" s="59"/>
      <c r="E495" s="60"/>
    </row>
    <row r="496" spans="1:5" x14ac:dyDescent="0.25">
      <c r="A496" s="58"/>
      <c r="B496" s="57"/>
      <c r="C496" s="57"/>
      <c r="D496" s="59"/>
      <c r="E496" s="60"/>
    </row>
    <row r="497" spans="1:5" x14ac:dyDescent="0.25">
      <c r="A497" s="58"/>
      <c r="B497" s="57"/>
      <c r="C497" s="57"/>
      <c r="D497" s="59"/>
      <c r="E497" s="60"/>
    </row>
    <row r="498" spans="1:5" x14ac:dyDescent="0.25">
      <c r="A498" s="58"/>
      <c r="B498" s="57"/>
      <c r="C498" s="57"/>
      <c r="D498" s="59"/>
      <c r="E498" s="60"/>
    </row>
    <row r="499" spans="1:5" x14ac:dyDescent="0.25">
      <c r="A499" s="58"/>
      <c r="B499" s="57"/>
      <c r="C499" s="57"/>
      <c r="D499" s="59"/>
      <c r="E499" s="60"/>
    </row>
    <row r="500" spans="1:5" x14ac:dyDescent="0.25">
      <c r="A500" s="58"/>
      <c r="B500" s="57"/>
      <c r="C500" s="57"/>
      <c r="D500" s="59"/>
      <c r="E500" s="60"/>
    </row>
    <row r="501" spans="1:5" x14ac:dyDescent="0.25">
      <c r="A501" s="58"/>
      <c r="B501" s="57"/>
      <c r="C501" s="57"/>
      <c r="D501" s="59"/>
      <c r="E501" s="60"/>
    </row>
    <row r="502" spans="1:5" x14ac:dyDescent="0.25">
      <c r="A502" s="58"/>
      <c r="B502" s="57"/>
      <c r="C502" s="57"/>
      <c r="D502" s="59"/>
      <c r="E502" s="60"/>
    </row>
    <row r="503" spans="1:5" x14ac:dyDescent="0.25">
      <c r="A503" s="58"/>
      <c r="B503" s="57"/>
      <c r="C503" s="57"/>
      <c r="D503" s="59"/>
      <c r="E503" s="60"/>
    </row>
    <row r="504" spans="1:5" x14ac:dyDescent="0.25">
      <c r="A504" s="58"/>
      <c r="B504" s="57"/>
      <c r="C504" s="57"/>
      <c r="D504" s="59"/>
      <c r="E504" s="60"/>
    </row>
    <row r="505" spans="1:5" x14ac:dyDescent="0.25">
      <c r="A505" s="58"/>
      <c r="B505" s="57"/>
      <c r="C505" s="57"/>
      <c r="D505" s="59"/>
      <c r="E505" s="60"/>
    </row>
    <row r="506" spans="1:5" x14ac:dyDescent="0.25">
      <c r="A506" s="58"/>
      <c r="B506" s="57"/>
      <c r="C506" s="57"/>
      <c r="D506" s="59"/>
      <c r="E506" s="60"/>
    </row>
    <row r="507" spans="1:5" x14ac:dyDescent="0.25">
      <c r="A507" s="58"/>
      <c r="B507" s="57"/>
      <c r="C507" s="57"/>
      <c r="D507" s="59"/>
      <c r="E507" s="60"/>
    </row>
    <row r="508" spans="1:5" x14ac:dyDescent="0.25">
      <c r="A508" s="58"/>
      <c r="B508" s="57"/>
      <c r="C508" s="57"/>
      <c r="D508" s="59"/>
      <c r="E508" s="60"/>
    </row>
    <row r="509" spans="1:5" x14ac:dyDescent="0.25">
      <c r="A509" s="58"/>
      <c r="B509" s="57"/>
      <c r="C509" s="57"/>
      <c r="D509" s="59"/>
      <c r="E509" s="60"/>
    </row>
    <row r="510" spans="1:5" x14ac:dyDescent="0.25">
      <c r="A510" s="58"/>
      <c r="B510" s="57"/>
      <c r="C510" s="57"/>
      <c r="D510" s="59"/>
      <c r="E510" s="60"/>
    </row>
    <row r="511" spans="1:5" x14ac:dyDescent="0.25">
      <c r="A511" s="58"/>
      <c r="B511" s="57"/>
      <c r="C511" s="57"/>
      <c r="D511" s="59"/>
      <c r="E511" s="60"/>
    </row>
    <row r="512" spans="1:5" x14ac:dyDescent="0.25">
      <c r="A512" s="58"/>
      <c r="B512" s="57"/>
      <c r="C512" s="57"/>
      <c r="D512" s="59"/>
      <c r="E512" s="60"/>
    </row>
    <row r="513" spans="1:5" x14ac:dyDescent="0.25">
      <c r="A513" s="58"/>
      <c r="B513" s="57"/>
      <c r="C513" s="57"/>
      <c r="D513" s="59"/>
      <c r="E513" s="60"/>
    </row>
    <row r="514" spans="1:5" x14ac:dyDescent="0.25">
      <c r="A514" s="58"/>
      <c r="B514" s="57"/>
      <c r="C514" s="57"/>
      <c r="D514" s="59"/>
      <c r="E514" s="60"/>
    </row>
    <row r="515" spans="1:5" x14ac:dyDescent="0.25">
      <c r="A515" s="58"/>
      <c r="B515" s="57"/>
      <c r="C515" s="57"/>
      <c r="D515" s="59"/>
      <c r="E515" s="60"/>
    </row>
    <row r="516" spans="1:5" x14ac:dyDescent="0.25">
      <c r="A516" s="58"/>
      <c r="B516" s="57"/>
      <c r="C516" s="57"/>
      <c r="D516" s="59"/>
      <c r="E516" s="60"/>
    </row>
    <row r="517" spans="1:5" x14ac:dyDescent="0.25">
      <c r="A517" s="58"/>
      <c r="B517" s="57"/>
      <c r="C517" s="57"/>
      <c r="D517" s="59"/>
      <c r="E517" s="60"/>
    </row>
    <row r="518" spans="1:5" x14ac:dyDescent="0.25">
      <c r="A518" s="58"/>
      <c r="B518" s="57"/>
      <c r="C518" s="57"/>
      <c r="D518" s="59"/>
      <c r="E518" s="60"/>
    </row>
    <row r="519" spans="1:5" x14ac:dyDescent="0.25">
      <c r="A519" s="58"/>
      <c r="B519" s="57"/>
      <c r="C519" s="57"/>
      <c r="D519" s="59"/>
      <c r="E519" s="60"/>
    </row>
    <row r="520" spans="1:5" x14ac:dyDescent="0.25">
      <c r="A520" s="58"/>
      <c r="B520" s="57"/>
      <c r="C520" s="57"/>
      <c r="D520" s="59"/>
      <c r="E520" s="60"/>
    </row>
    <row r="521" spans="1:5" x14ac:dyDescent="0.25">
      <c r="A521" s="58"/>
      <c r="B521" s="57"/>
      <c r="C521" s="57"/>
      <c r="D521" s="59"/>
      <c r="E521" s="60"/>
    </row>
    <row r="522" spans="1:5" x14ac:dyDescent="0.25">
      <c r="A522" s="58"/>
      <c r="B522" s="57"/>
      <c r="C522" s="57"/>
      <c r="D522" s="59"/>
      <c r="E522" s="60"/>
    </row>
    <row r="523" spans="1:5" x14ac:dyDescent="0.25">
      <c r="A523" s="58"/>
      <c r="B523" s="57"/>
      <c r="C523" s="57"/>
      <c r="D523" s="59"/>
      <c r="E523" s="60"/>
    </row>
    <row r="524" spans="1:5" x14ac:dyDescent="0.25">
      <c r="A524" s="58"/>
      <c r="B524" s="57"/>
      <c r="C524" s="57"/>
      <c r="D524" s="59"/>
      <c r="E524" s="60"/>
    </row>
    <row r="525" spans="1:5" x14ac:dyDescent="0.25">
      <c r="A525" s="58"/>
      <c r="B525" s="57"/>
      <c r="C525" s="57"/>
      <c r="D525" s="59"/>
      <c r="E525" s="60"/>
    </row>
    <row r="526" spans="1:5" x14ac:dyDescent="0.25">
      <c r="A526" s="58"/>
      <c r="B526" s="57"/>
      <c r="C526" s="57"/>
      <c r="D526" s="59"/>
      <c r="E526" s="60"/>
    </row>
    <row r="527" spans="1:5" x14ac:dyDescent="0.25">
      <c r="A527" s="58"/>
      <c r="B527" s="57"/>
      <c r="C527" s="57"/>
      <c r="D527" s="59"/>
      <c r="E527" s="60"/>
    </row>
    <row r="528" spans="1:5" x14ac:dyDescent="0.25">
      <c r="A528" s="58"/>
      <c r="B528" s="57"/>
      <c r="C528" s="57"/>
      <c r="D528" s="59"/>
      <c r="E528" s="60"/>
    </row>
    <row r="529" spans="1:5" x14ac:dyDescent="0.25">
      <c r="A529" s="58"/>
      <c r="B529" s="57"/>
      <c r="C529" s="57"/>
      <c r="D529" s="59"/>
      <c r="E529" s="60"/>
    </row>
    <row r="530" spans="1:5" x14ac:dyDescent="0.25">
      <c r="A530" s="58"/>
      <c r="B530" s="57"/>
      <c r="C530" s="57"/>
      <c r="D530" s="59"/>
      <c r="E530" s="60"/>
    </row>
    <row r="531" spans="1:5" x14ac:dyDescent="0.25">
      <c r="A531" s="58"/>
      <c r="B531" s="57"/>
      <c r="C531" s="57"/>
      <c r="D531" s="59"/>
      <c r="E531" s="60"/>
    </row>
    <row r="532" spans="1:5" x14ac:dyDescent="0.25">
      <c r="A532" s="58"/>
      <c r="B532" s="57"/>
      <c r="C532" s="57"/>
      <c r="D532" s="59"/>
      <c r="E532" s="60"/>
    </row>
    <row r="533" spans="1:5" x14ac:dyDescent="0.25">
      <c r="A533" s="58"/>
      <c r="B533" s="57"/>
      <c r="C533" s="57"/>
      <c r="D533" s="59"/>
      <c r="E533" s="60"/>
    </row>
    <row r="534" spans="1:5" x14ac:dyDescent="0.25">
      <c r="A534" s="58"/>
      <c r="B534" s="57"/>
      <c r="C534" s="57"/>
      <c r="D534" s="59"/>
      <c r="E534" s="60"/>
    </row>
    <row r="535" spans="1:5" x14ac:dyDescent="0.25">
      <c r="A535" s="58"/>
      <c r="B535" s="57"/>
      <c r="C535" s="57"/>
      <c r="D535" s="59"/>
      <c r="E535" s="60"/>
    </row>
    <row r="536" spans="1:5" x14ac:dyDescent="0.25">
      <c r="A536" s="58"/>
      <c r="B536" s="57"/>
      <c r="C536" s="57"/>
      <c r="D536" s="59"/>
      <c r="E536" s="60"/>
    </row>
    <row r="537" spans="1:5" x14ac:dyDescent="0.25">
      <c r="A537" s="58"/>
      <c r="B537" s="57"/>
      <c r="C537" s="57"/>
      <c r="D537" s="59"/>
      <c r="E537" s="60"/>
    </row>
    <row r="538" spans="1:5" x14ac:dyDescent="0.25">
      <c r="A538" s="58"/>
      <c r="B538" s="57"/>
      <c r="C538" s="57"/>
      <c r="D538" s="59"/>
      <c r="E538" s="60"/>
    </row>
    <row r="539" spans="1:5" x14ac:dyDescent="0.25">
      <c r="A539" s="58"/>
      <c r="B539" s="57"/>
      <c r="C539" s="57"/>
      <c r="D539" s="59"/>
      <c r="E539" s="60"/>
    </row>
    <row r="540" spans="1:5" x14ac:dyDescent="0.25">
      <c r="A540" s="58"/>
      <c r="B540" s="57"/>
      <c r="C540" s="57"/>
      <c r="D540" s="59"/>
      <c r="E540" s="60"/>
    </row>
    <row r="541" spans="1:5" x14ac:dyDescent="0.25">
      <c r="A541" s="58"/>
      <c r="B541" s="57"/>
      <c r="C541" s="57"/>
      <c r="D541" s="59"/>
      <c r="E541" s="60"/>
    </row>
    <row r="542" spans="1:5" x14ac:dyDescent="0.25">
      <c r="A542" s="58"/>
      <c r="B542" s="57"/>
      <c r="C542" s="57"/>
      <c r="D542" s="59"/>
      <c r="E542" s="60"/>
    </row>
    <row r="543" spans="1:5" x14ac:dyDescent="0.25">
      <c r="A543" s="58"/>
      <c r="B543" s="57"/>
      <c r="C543" s="57"/>
      <c r="D543" s="59"/>
      <c r="E543" s="60"/>
    </row>
    <row r="544" spans="1:5" x14ac:dyDescent="0.25">
      <c r="A544" s="58"/>
      <c r="B544" s="57"/>
      <c r="C544" s="57"/>
      <c r="D544" s="59"/>
      <c r="E544" s="60"/>
    </row>
    <row r="545" spans="1:5" x14ac:dyDescent="0.25">
      <c r="A545" s="58"/>
      <c r="B545" s="57"/>
      <c r="C545" s="57"/>
      <c r="D545" s="59"/>
      <c r="E545" s="60"/>
    </row>
    <row r="546" spans="1:5" x14ac:dyDescent="0.25">
      <c r="A546" s="58"/>
      <c r="B546" s="57"/>
      <c r="C546" s="57"/>
      <c r="D546" s="59"/>
      <c r="E546" s="60"/>
    </row>
    <row r="547" spans="1:5" x14ac:dyDescent="0.25">
      <c r="A547" s="58"/>
      <c r="B547" s="57"/>
      <c r="C547" s="57"/>
      <c r="D547" s="59"/>
      <c r="E547" s="60"/>
    </row>
    <row r="548" spans="1:5" x14ac:dyDescent="0.25">
      <c r="A548" s="58"/>
      <c r="B548" s="57"/>
      <c r="C548" s="57"/>
      <c r="D548" s="59"/>
      <c r="E548" s="60"/>
    </row>
    <row r="549" spans="1:5" x14ac:dyDescent="0.25">
      <c r="A549" s="58"/>
      <c r="B549" s="57"/>
      <c r="C549" s="57"/>
      <c r="D549" s="59"/>
      <c r="E549" s="60"/>
    </row>
    <row r="550" spans="1:5" x14ac:dyDescent="0.25">
      <c r="A550" s="58"/>
      <c r="B550" s="57"/>
      <c r="C550" s="57"/>
      <c r="D550" s="59"/>
      <c r="E550" s="60"/>
    </row>
    <row r="551" spans="1:5" x14ac:dyDescent="0.25">
      <c r="A551" s="58"/>
      <c r="B551" s="57"/>
      <c r="C551" s="57"/>
      <c r="D551" s="59"/>
      <c r="E551" s="60"/>
    </row>
    <row r="552" spans="1:5" x14ac:dyDescent="0.25">
      <c r="A552" s="58"/>
      <c r="B552" s="57"/>
      <c r="C552" s="57"/>
      <c r="D552" s="59"/>
      <c r="E552" s="60"/>
    </row>
    <row r="553" spans="1:5" x14ac:dyDescent="0.25">
      <c r="A553" s="58"/>
      <c r="B553" s="57"/>
      <c r="C553" s="57"/>
      <c r="D553" s="59"/>
      <c r="E553" s="60"/>
    </row>
    <row r="554" spans="1:5" x14ac:dyDescent="0.25">
      <c r="A554" s="58"/>
      <c r="B554" s="57"/>
      <c r="C554" s="57"/>
      <c r="D554" s="59"/>
      <c r="E554" s="60"/>
    </row>
    <row r="555" spans="1:5" x14ac:dyDescent="0.25">
      <c r="A555" s="58"/>
      <c r="B555" s="57"/>
      <c r="C555" s="57"/>
      <c r="D555" s="59"/>
      <c r="E555" s="60"/>
    </row>
    <row r="556" spans="1:5" x14ac:dyDescent="0.25">
      <c r="A556" s="58"/>
      <c r="B556" s="57"/>
      <c r="C556" s="57"/>
      <c r="D556" s="59"/>
      <c r="E556" s="60"/>
    </row>
    <row r="557" spans="1:5" x14ac:dyDescent="0.25">
      <c r="A557" s="58"/>
      <c r="B557" s="57"/>
      <c r="C557" s="57"/>
      <c r="D557" s="59"/>
      <c r="E557" s="60"/>
    </row>
    <row r="558" spans="1:5" x14ac:dyDescent="0.25">
      <c r="A558" s="58"/>
      <c r="B558" s="57"/>
      <c r="C558" s="57"/>
      <c r="D558" s="59"/>
      <c r="E558" s="60"/>
    </row>
    <row r="559" spans="1:5" x14ac:dyDescent="0.25">
      <c r="A559" s="58"/>
      <c r="B559" s="57"/>
      <c r="C559" s="57"/>
      <c r="D559" s="59"/>
      <c r="E559" s="60"/>
    </row>
    <row r="560" spans="1:5" x14ac:dyDescent="0.25">
      <c r="A560" s="58"/>
      <c r="B560" s="57"/>
      <c r="C560" s="57"/>
      <c r="D560" s="59"/>
      <c r="E560" s="60"/>
    </row>
    <row r="561" spans="1:5" x14ac:dyDescent="0.25">
      <c r="A561" s="58"/>
      <c r="B561" s="57"/>
      <c r="C561" s="57"/>
      <c r="D561" s="59"/>
      <c r="E561" s="60"/>
    </row>
    <row r="562" spans="1:5" x14ac:dyDescent="0.25">
      <c r="A562" s="58"/>
      <c r="B562" s="57"/>
      <c r="C562" s="57"/>
      <c r="D562" s="59"/>
      <c r="E562" s="60"/>
    </row>
    <row r="563" spans="1:5" x14ac:dyDescent="0.25">
      <c r="A563" s="58"/>
      <c r="B563" s="57"/>
      <c r="C563" s="57"/>
      <c r="D563" s="59"/>
      <c r="E563" s="60"/>
    </row>
    <row r="564" spans="1:5" x14ac:dyDescent="0.25">
      <c r="A564" s="58"/>
      <c r="B564" s="57"/>
      <c r="C564" s="57"/>
      <c r="D564" s="59"/>
      <c r="E564" s="60"/>
    </row>
    <row r="565" spans="1:5" x14ac:dyDescent="0.25">
      <c r="A565" s="58"/>
      <c r="B565" s="57"/>
      <c r="C565" s="57"/>
      <c r="D565" s="59"/>
      <c r="E565" s="60"/>
    </row>
    <row r="566" spans="1:5" x14ac:dyDescent="0.25">
      <c r="A566" s="58"/>
      <c r="B566" s="57"/>
      <c r="C566" s="57"/>
      <c r="D566" s="59"/>
      <c r="E566" s="60"/>
    </row>
    <row r="567" spans="1:5" x14ac:dyDescent="0.25">
      <c r="A567" s="58"/>
      <c r="B567" s="57"/>
      <c r="C567" s="57"/>
      <c r="D567" s="59"/>
      <c r="E567" s="60"/>
    </row>
    <row r="568" spans="1:5" x14ac:dyDescent="0.25">
      <c r="A568" s="58"/>
      <c r="B568" s="57"/>
      <c r="C568" s="57"/>
      <c r="D568" s="59"/>
      <c r="E568" s="60"/>
    </row>
    <row r="569" spans="1:5" x14ac:dyDescent="0.25">
      <c r="A569" s="58"/>
      <c r="B569" s="57"/>
      <c r="C569" s="57"/>
      <c r="D569" s="59"/>
      <c r="E569" s="60"/>
    </row>
    <row r="570" spans="1:5" x14ac:dyDescent="0.25">
      <c r="A570" s="58"/>
      <c r="B570" s="57"/>
      <c r="C570" s="57"/>
      <c r="D570" s="59"/>
      <c r="E570" s="60"/>
    </row>
    <row r="571" spans="1:5" x14ac:dyDescent="0.25">
      <c r="A571" s="58"/>
      <c r="B571" s="57"/>
      <c r="C571" s="57"/>
      <c r="D571" s="59"/>
      <c r="E571" s="60"/>
    </row>
    <row r="572" spans="1:5" x14ac:dyDescent="0.25">
      <c r="A572" s="58"/>
      <c r="B572" s="57"/>
      <c r="C572" s="57"/>
      <c r="D572" s="59"/>
      <c r="E572" s="60"/>
    </row>
    <row r="573" spans="1:5" x14ac:dyDescent="0.25">
      <c r="A573" s="58"/>
      <c r="B573" s="57"/>
      <c r="C573" s="57"/>
      <c r="D573" s="59"/>
      <c r="E573" s="60"/>
    </row>
    <row r="574" spans="1:5" x14ac:dyDescent="0.25">
      <c r="A574" s="58"/>
      <c r="B574" s="57"/>
      <c r="C574" s="57"/>
      <c r="D574" s="59"/>
      <c r="E574" s="60"/>
    </row>
    <row r="575" spans="1:5" x14ac:dyDescent="0.25">
      <c r="A575" s="58"/>
      <c r="B575" s="57"/>
      <c r="C575" s="57"/>
      <c r="D575" s="59"/>
      <c r="E575" s="60"/>
    </row>
    <row r="576" spans="1:5" x14ac:dyDescent="0.25">
      <c r="A576" s="58"/>
      <c r="B576" s="57"/>
      <c r="C576" s="57"/>
      <c r="D576" s="59"/>
      <c r="E576" s="60"/>
    </row>
    <row r="577" spans="1:5" x14ac:dyDescent="0.25">
      <c r="A577" s="58"/>
      <c r="B577" s="57"/>
      <c r="C577" s="57"/>
      <c r="D577" s="59"/>
      <c r="E577" s="60"/>
    </row>
    <row r="578" spans="1:5" x14ac:dyDescent="0.25">
      <c r="A578" s="58"/>
      <c r="B578" s="57"/>
      <c r="C578" s="57"/>
      <c r="D578" s="59"/>
      <c r="E578" s="60"/>
    </row>
    <row r="579" spans="1:5" x14ac:dyDescent="0.25">
      <c r="A579" s="58"/>
      <c r="B579" s="57"/>
      <c r="C579" s="57"/>
      <c r="D579" s="59"/>
      <c r="E579" s="60"/>
    </row>
    <row r="580" spans="1:5" x14ac:dyDescent="0.25">
      <c r="A580" s="58"/>
      <c r="B580" s="57"/>
      <c r="C580" s="57"/>
      <c r="D580" s="59"/>
      <c r="E580" s="60"/>
    </row>
    <row r="581" spans="1:5" x14ac:dyDescent="0.25">
      <c r="A581" s="58"/>
      <c r="B581" s="57"/>
      <c r="C581" s="57"/>
      <c r="D581" s="59"/>
      <c r="E581" s="60"/>
    </row>
    <row r="582" spans="1:5" x14ac:dyDescent="0.25">
      <c r="A582" s="58"/>
      <c r="B582" s="57"/>
      <c r="C582" s="57"/>
      <c r="D582" s="59"/>
      <c r="E582" s="60"/>
    </row>
    <row r="583" spans="1:5" x14ac:dyDescent="0.25">
      <c r="A583" s="58"/>
      <c r="B583" s="57"/>
      <c r="C583" s="57"/>
      <c r="D583" s="59"/>
      <c r="E583" s="60"/>
    </row>
    <row r="584" spans="1:5" x14ac:dyDescent="0.25">
      <c r="A584" s="58"/>
      <c r="B584" s="57"/>
      <c r="C584" s="57"/>
      <c r="D584" s="59"/>
      <c r="E584" s="60"/>
    </row>
    <row r="585" spans="1:5" x14ac:dyDescent="0.25">
      <c r="A585" s="58"/>
      <c r="B585" s="57"/>
      <c r="C585" s="57"/>
      <c r="D585" s="59"/>
      <c r="E585" s="60"/>
    </row>
    <row r="586" spans="1:5" x14ac:dyDescent="0.25">
      <c r="A586" s="58"/>
      <c r="B586" s="57"/>
      <c r="C586" s="57"/>
      <c r="D586" s="59"/>
      <c r="E586" s="60"/>
    </row>
    <row r="587" spans="1:5" x14ac:dyDescent="0.25">
      <c r="A587" s="58"/>
      <c r="B587" s="57"/>
      <c r="C587" s="57"/>
      <c r="D587" s="59"/>
      <c r="E587" s="60"/>
    </row>
    <row r="588" spans="1:5" x14ac:dyDescent="0.25">
      <c r="A588" s="58"/>
      <c r="B588" s="57"/>
      <c r="C588" s="57"/>
      <c r="D588" s="59"/>
      <c r="E588" s="60"/>
    </row>
    <row r="589" spans="1:5" x14ac:dyDescent="0.25">
      <c r="A589" s="58"/>
      <c r="B589" s="57"/>
      <c r="C589" s="57"/>
      <c r="D589" s="59"/>
      <c r="E589" s="60"/>
    </row>
    <row r="590" spans="1:5" x14ac:dyDescent="0.25">
      <c r="A590" s="58"/>
      <c r="B590" s="57"/>
      <c r="C590" s="57"/>
      <c r="D590" s="59"/>
      <c r="E590" s="60"/>
    </row>
    <row r="591" spans="1:5" x14ac:dyDescent="0.25">
      <c r="A591" s="58"/>
      <c r="B591" s="57"/>
      <c r="C591" s="57"/>
      <c r="D591" s="59"/>
      <c r="E591" s="60"/>
    </row>
    <row r="592" spans="1:5" x14ac:dyDescent="0.25">
      <c r="A592" s="58"/>
      <c r="B592" s="57"/>
      <c r="C592" s="57"/>
      <c r="D592" s="59"/>
      <c r="E592" s="60"/>
    </row>
    <row r="593" spans="1:5" x14ac:dyDescent="0.25">
      <c r="A593" s="58"/>
      <c r="B593" s="57"/>
      <c r="C593" s="57"/>
      <c r="D593" s="59"/>
      <c r="E593" s="60"/>
    </row>
    <row r="594" spans="1:5" x14ac:dyDescent="0.25">
      <c r="A594" s="58"/>
      <c r="B594" s="57"/>
      <c r="C594" s="57"/>
      <c r="D594" s="59"/>
      <c r="E594" s="60"/>
    </row>
    <row r="595" spans="1:5" x14ac:dyDescent="0.25">
      <c r="A595" s="58"/>
      <c r="B595" s="57"/>
      <c r="C595" s="57"/>
      <c r="D595" s="59"/>
      <c r="E595" s="60"/>
    </row>
    <row r="596" spans="1:5" x14ac:dyDescent="0.25">
      <c r="A596" s="58"/>
      <c r="B596" s="57"/>
      <c r="C596" s="57"/>
      <c r="D596" s="59"/>
      <c r="E596" s="60"/>
    </row>
    <row r="597" spans="1:5" x14ac:dyDescent="0.25">
      <c r="A597" s="58"/>
      <c r="B597" s="57"/>
      <c r="C597" s="57"/>
      <c r="D597" s="59"/>
      <c r="E597" s="60"/>
    </row>
    <row r="598" spans="1:5" x14ac:dyDescent="0.25">
      <c r="A598" s="58"/>
      <c r="B598" s="57"/>
      <c r="C598" s="57"/>
      <c r="D598" s="59"/>
      <c r="E598" s="60"/>
    </row>
    <row r="599" spans="1:5" x14ac:dyDescent="0.25">
      <c r="A599" s="58"/>
      <c r="B599" s="57"/>
      <c r="C599" s="57"/>
      <c r="D599" s="59"/>
      <c r="E599" s="60"/>
    </row>
    <row r="600" spans="1:5" x14ac:dyDescent="0.25">
      <c r="A600" s="58"/>
      <c r="B600" s="57"/>
      <c r="C600" s="57"/>
      <c r="D600" s="59"/>
      <c r="E600" s="60"/>
    </row>
    <row r="601" spans="1:5" x14ac:dyDescent="0.25">
      <c r="A601" s="58"/>
      <c r="B601" s="57"/>
      <c r="C601" s="57"/>
      <c r="D601" s="59"/>
      <c r="E601" s="60"/>
    </row>
    <row r="602" spans="1:5" x14ac:dyDescent="0.25">
      <c r="A602" s="58"/>
      <c r="B602" s="57"/>
      <c r="C602" s="57"/>
      <c r="D602" s="59"/>
      <c r="E602" s="60"/>
    </row>
    <row r="603" spans="1:5" x14ac:dyDescent="0.25">
      <c r="A603" s="58"/>
      <c r="B603" s="57"/>
      <c r="C603" s="57"/>
      <c r="D603" s="59"/>
      <c r="E603" s="60"/>
    </row>
    <row r="604" spans="1:5" x14ac:dyDescent="0.25">
      <c r="A604" s="58"/>
      <c r="B604" s="57"/>
      <c r="C604" s="57"/>
      <c r="D604" s="59"/>
      <c r="E604" s="60"/>
    </row>
    <row r="605" spans="1:5" x14ac:dyDescent="0.25">
      <c r="A605" s="58"/>
      <c r="B605" s="57"/>
      <c r="C605" s="57"/>
      <c r="D605" s="59"/>
      <c r="E605" s="60"/>
    </row>
    <row r="606" spans="1:5" x14ac:dyDescent="0.25">
      <c r="A606" s="58"/>
      <c r="B606" s="57"/>
      <c r="C606" s="57"/>
      <c r="D606" s="59"/>
      <c r="E606" s="60"/>
    </row>
    <row r="607" spans="1:5" x14ac:dyDescent="0.25">
      <c r="A607" s="58"/>
      <c r="B607" s="57"/>
      <c r="C607" s="57"/>
      <c r="D607" s="59"/>
      <c r="E607" s="60"/>
    </row>
    <row r="608" spans="1:5" x14ac:dyDescent="0.25">
      <c r="A608" s="58"/>
      <c r="B608" s="57"/>
      <c r="C608" s="57"/>
      <c r="D608" s="59"/>
      <c r="E608" s="60"/>
    </row>
    <row r="609" spans="1:5" x14ac:dyDescent="0.25">
      <c r="A609" s="58"/>
      <c r="B609" s="57"/>
      <c r="C609" s="57"/>
      <c r="D609" s="59"/>
      <c r="E609" s="60"/>
    </row>
    <row r="610" spans="1:5" x14ac:dyDescent="0.25">
      <c r="A610" s="58"/>
      <c r="B610" s="57"/>
      <c r="C610" s="57"/>
      <c r="D610" s="59"/>
      <c r="E610" s="60"/>
    </row>
    <row r="611" spans="1:5" x14ac:dyDescent="0.25">
      <c r="A611" s="58"/>
      <c r="B611" s="57"/>
      <c r="C611" s="57"/>
      <c r="D611" s="59"/>
      <c r="E611" s="60"/>
    </row>
    <row r="612" spans="1:5" x14ac:dyDescent="0.25">
      <c r="A612" s="58"/>
      <c r="B612" s="57"/>
      <c r="C612" s="57"/>
      <c r="D612" s="59"/>
      <c r="E612" s="60"/>
    </row>
    <row r="613" spans="1:5" x14ac:dyDescent="0.25">
      <c r="A613" s="58"/>
      <c r="B613" s="57"/>
      <c r="C613" s="57"/>
      <c r="D613" s="59"/>
      <c r="E613" s="60"/>
    </row>
    <row r="614" spans="1:5" x14ac:dyDescent="0.25">
      <c r="A614" s="58"/>
      <c r="B614" s="57"/>
      <c r="C614" s="57"/>
      <c r="D614" s="59"/>
      <c r="E614" s="60"/>
    </row>
    <row r="615" spans="1:5" x14ac:dyDescent="0.25">
      <c r="A615" s="58"/>
      <c r="B615" s="57"/>
      <c r="C615" s="57"/>
      <c r="D615" s="59"/>
      <c r="E615" s="60"/>
    </row>
    <row r="616" spans="1:5" x14ac:dyDescent="0.25">
      <c r="A616" s="58"/>
      <c r="B616" s="57"/>
      <c r="C616" s="57"/>
      <c r="D616" s="59"/>
      <c r="E616" s="60"/>
    </row>
    <row r="617" spans="1:5" x14ac:dyDescent="0.25">
      <c r="A617" s="58"/>
      <c r="B617" s="57"/>
      <c r="C617" s="57"/>
      <c r="D617" s="59"/>
      <c r="E617" s="60"/>
    </row>
    <row r="618" spans="1:5" x14ac:dyDescent="0.25">
      <c r="A618" s="58"/>
      <c r="B618" s="57"/>
      <c r="C618" s="57"/>
      <c r="D618" s="59"/>
      <c r="E618" s="60"/>
    </row>
    <row r="619" spans="1:5" x14ac:dyDescent="0.25">
      <c r="A619" s="58"/>
      <c r="B619" s="57"/>
      <c r="C619" s="57"/>
      <c r="D619" s="59"/>
      <c r="E619" s="60"/>
    </row>
    <row r="620" spans="1:5" x14ac:dyDescent="0.25">
      <c r="A620" s="58"/>
      <c r="B620" s="57"/>
      <c r="C620" s="57"/>
      <c r="D620" s="59"/>
      <c r="E620" s="60"/>
    </row>
    <row r="621" spans="1:5" x14ac:dyDescent="0.25">
      <c r="A621" s="58"/>
      <c r="B621" s="57"/>
      <c r="C621" s="57"/>
      <c r="D621" s="59"/>
      <c r="E621" s="60"/>
    </row>
    <row r="622" spans="1:5" x14ac:dyDescent="0.25">
      <c r="A622" s="58"/>
      <c r="B622" s="57"/>
      <c r="C622" s="57"/>
      <c r="D622" s="59"/>
      <c r="E622" s="60"/>
    </row>
    <row r="623" spans="1:5" x14ac:dyDescent="0.25">
      <c r="A623" s="58"/>
      <c r="B623" s="57"/>
      <c r="C623" s="57"/>
      <c r="D623" s="59"/>
      <c r="E623" s="60"/>
    </row>
    <row r="624" spans="1:5" x14ac:dyDescent="0.25">
      <c r="A624" s="58"/>
      <c r="B624" s="57"/>
      <c r="C624" s="57"/>
      <c r="D624" s="59"/>
      <c r="E624" s="60"/>
    </row>
    <row r="625" spans="1:5" x14ac:dyDescent="0.25">
      <c r="A625" s="58"/>
      <c r="B625" s="57"/>
      <c r="C625" s="57"/>
      <c r="D625" s="59"/>
      <c r="E625" s="60"/>
    </row>
    <row r="626" spans="1:5" x14ac:dyDescent="0.25">
      <c r="A626" s="58"/>
      <c r="B626" s="57"/>
      <c r="C626" s="57"/>
      <c r="D626" s="59"/>
      <c r="E626" s="60"/>
    </row>
    <row r="627" spans="1:5" x14ac:dyDescent="0.25">
      <c r="A627" s="58"/>
      <c r="B627" s="57"/>
      <c r="C627" s="57"/>
      <c r="D627" s="59"/>
      <c r="E627" s="60"/>
    </row>
    <row r="628" spans="1:5" x14ac:dyDescent="0.25">
      <c r="A628" s="58"/>
      <c r="B628" s="57"/>
      <c r="C628" s="57"/>
      <c r="D628" s="59"/>
      <c r="E628" s="60"/>
    </row>
    <row r="629" spans="1:5" x14ac:dyDescent="0.25">
      <c r="A629" s="58"/>
      <c r="B629" s="57"/>
      <c r="C629" s="57"/>
      <c r="D629" s="59"/>
      <c r="E629" s="60"/>
    </row>
    <row r="630" spans="1:5" x14ac:dyDescent="0.25">
      <c r="A630" s="58"/>
      <c r="B630" s="57"/>
      <c r="C630" s="57"/>
      <c r="D630" s="59"/>
      <c r="E630" s="60"/>
    </row>
    <row r="631" spans="1:5" x14ac:dyDescent="0.25">
      <c r="A631" s="58"/>
      <c r="B631" s="57"/>
      <c r="C631" s="57"/>
      <c r="D631" s="59"/>
      <c r="E631" s="60"/>
    </row>
    <row r="632" spans="1:5" x14ac:dyDescent="0.25">
      <c r="A632" s="58"/>
      <c r="B632" s="57"/>
      <c r="C632" s="57"/>
      <c r="D632" s="59"/>
      <c r="E632" s="60"/>
    </row>
    <row r="633" spans="1:5" x14ac:dyDescent="0.25">
      <c r="A633" s="58"/>
      <c r="B633" s="57"/>
      <c r="C633" s="57"/>
      <c r="D633" s="59"/>
      <c r="E633" s="60"/>
    </row>
    <row r="634" spans="1:5" x14ac:dyDescent="0.25">
      <c r="A634" s="58"/>
      <c r="B634" s="57"/>
      <c r="C634" s="57"/>
      <c r="D634" s="59"/>
      <c r="E634" s="60"/>
    </row>
    <row r="635" spans="1:5" x14ac:dyDescent="0.25">
      <c r="A635" s="58"/>
      <c r="B635" s="57"/>
      <c r="C635" s="57"/>
      <c r="D635" s="59"/>
      <c r="E635" s="60"/>
    </row>
    <row r="636" spans="1:5" x14ac:dyDescent="0.25">
      <c r="A636" s="58"/>
      <c r="B636" s="57"/>
      <c r="C636" s="57"/>
      <c r="D636" s="59"/>
      <c r="E636" s="60"/>
    </row>
    <row r="637" spans="1:5" x14ac:dyDescent="0.25">
      <c r="A637" s="58"/>
      <c r="B637" s="57"/>
      <c r="C637" s="57"/>
      <c r="D637" s="59"/>
      <c r="E637" s="60"/>
    </row>
    <row r="638" spans="1:5" x14ac:dyDescent="0.25">
      <c r="A638" s="58"/>
      <c r="B638" s="57"/>
      <c r="C638" s="57"/>
      <c r="D638" s="59"/>
      <c r="E638" s="60"/>
    </row>
    <row r="639" spans="1:5" x14ac:dyDescent="0.25">
      <c r="A639" s="58"/>
      <c r="B639" s="57"/>
      <c r="C639" s="57"/>
      <c r="D639" s="59"/>
      <c r="E639" s="60"/>
    </row>
    <row r="640" spans="1:5" x14ac:dyDescent="0.25">
      <c r="A640" s="58"/>
      <c r="B640" s="57"/>
      <c r="C640" s="57"/>
      <c r="D640" s="59"/>
      <c r="E640" s="60"/>
    </row>
    <row r="641" spans="1:7" x14ac:dyDescent="0.25">
      <c r="A641" s="58"/>
      <c r="B641" s="57"/>
      <c r="C641" s="57"/>
      <c r="D641" s="59"/>
      <c r="E641" s="60"/>
    </row>
    <row r="642" spans="1:7" x14ac:dyDescent="0.25">
      <c r="A642" s="58"/>
      <c r="B642" s="57"/>
      <c r="C642" s="57"/>
      <c r="D642" s="59"/>
      <c r="E642" s="60"/>
    </row>
    <row r="643" spans="1:7" x14ac:dyDescent="0.25">
      <c r="A643" s="58"/>
      <c r="B643" s="57"/>
      <c r="C643" s="57"/>
      <c r="D643" s="59"/>
      <c r="E643" s="60"/>
    </row>
    <row r="644" spans="1:7" x14ac:dyDescent="0.25">
      <c r="A644" s="58"/>
      <c r="B644" s="57"/>
      <c r="C644" s="57"/>
      <c r="D644" s="59"/>
      <c r="E644" s="60"/>
      <c r="G644" s="59"/>
    </row>
    <row r="645" spans="1:7" x14ac:dyDescent="0.25">
      <c r="A645" s="58"/>
      <c r="B645" s="57"/>
      <c r="C645" s="57"/>
      <c r="D645" s="59"/>
      <c r="E645" s="60"/>
      <c r="G645" s="59"/>
    </row>
    <row r="646" spans="1:7" x14ac:dyDescent="0.25">
      <c r="A646" s="58"/>
      <c r="B646" s="57"/>
      <c r="C646" s="57"/>
      <c r="D646" s="59"/>
      <c r="E646" s="60"/>
      <c r="G646" s="59"/>
    </row>
    <row r="647" spans="1:7" x14ac:dyDescent="0.25">
      <c r="A647" s="58"/>
      <c r="B647" s="57"/>
      <c r="C647" s="57"/>
      <c r="D647" s="59"/>
      <c r="E647" s="60"/>
      <c r="G647" s="59"/>
    </row>
    <row r="648" spans="1:7" x14ac:dyDescent="0.25">
      <c r="A648" s="58"/>
      <c r="B648" s="57"/>
      <c r="C648" s="57"/>
      <c r="D648" s="59"/>
      <c r="E648" s="60"/>
      <c r="G648" s="59"/>
    </row>
    <row r="649" spans="1:7" x14ac:dyDescent="0.25">
      <c r="A649" s="58"/>
      <c r="B649" s="57"/>
      <c r="C649" s="57"/>
      <c r="D649" s="59"/>
      <c r="E649" s="60"/>
      <c r="G649" s="59"/>
    </row>
    <row r="650" spans="1:7" x14ac:dyDescent="0.25">
      <c r="A650" s="58"/>
      <c r="B650" s="57"/>
      <c r="C650" s="57"/>
      <c r="D650" s="59"/>
      <c r="E650" s="60"/>
      <c r="G650" s="59"/>
    </row>
    <row r="651" spans="1:7" x14ac:dyDescent="0.25">
      <c r="A651" s="58"/>
      <c r="B651" s="57"/>
      <c r="C651" s="57"/>
      <c r="D651" s="59"/>
      <c r="E651" s="60"/>
      <c r="G651" s="59"/>
    </row>
    <row r="652" spans="1:7" x14ac:dyDescent="0.25">
      <c r="A652" s="58"/>
      <c r="B652" s="57"/>
      <c r="C652" s="57"/>
      <c r="D652" s="59"/>
      <c r="E652" s="60"/>
      <c r="G652" s="59"/>
    </row>
    <row r="653" spans="1:7" x14ac:dyDescent="0.25">
      <c r="A653" s="58"/>
      <c r="B653" s="57"/>
      <c r="C653" s="57"/>
      <c r="D653" s="59"/>
      <c r="E653" s="60"/>
      <c r="G653" s="59"/>
    </row>
    <row r="654" spans="1:7" x14ac:dyDescent="0.25">
      <c r="A654" s="58"/>
      <c r="B654" s="57"/>
      <c r="C654" s="57"/>
      <c r="D654" s="59"/>
      <c r="E654" s="60"/>
      <c r="G654" s="59"/>
    </row>
    <row r="655" spans="1:7" x14ac:dyDescent="0.25">
      <c r="A655" s="58"/>
      <c r="B655" s="57"/>
      <c r="C655" s="57"/>
      <c r="D655" s="59"/>
      <c r="E655" s="60"/>
      <c r="G655" s="59"/>
    </row>
    <row r="656" spans="1:7" x14ac:dyDescent="0.25">
      <c r="A656" s="58"/>
      <c r="B656" s="57"/>
      <c r="C656" s="57"/>
      <c r="D656" s="59"/>
      <c r="E656" s="60"/>
      <c r="G656" s="59"/>
    </row>
    <row r="657" spans="1:7" x14ac:dyDescent="0.25">
      <c r="A657" s="58"/>
      <c r="B657" s="57"/>
      <c r="C657" s="57"/>
      <c r="D657" s="59"/>
      <c r="E657" s="60"/>
    </row>
    <row r="658" spans="1:7" x14ac:dyDescent="0.25">
      <c r="A658" s="58"/>
      <c r="B658" s="57"/>
      <c r="C658" s="57"/>
      <c r="D658" s="59"/>
      <c r="E658" s="60"/>
    </row>
    <row r="659" spans="1:7" x14ac:dyDescent="0.25">
      <c r="A659" s="58"/>
      <c r="B659" s="57"/>
      <c r="C659" s="57"/>
      <c r="D659" s="59"/>
      <c r="E659" s="60"/>
    </row>
    <row r="660" spans="1:7" x14ac:dyDescent="0.25">
      <c r="A660" s="58"/>
      <c r="B660" s="57"/>
      <c r="C660" s="57"/>
      <c r="D660" s="59"/>
      <c r="E660" s="60"/>
    </row>
    <row r="661" spans="1:7" x14ac:dyDescent="0.25">
      <c r="A661" s="58"/>
      <c r="B661" s="57"/>
      <c r="C661" s="57"/>
      <c r="D661" s="59"/>
      <c r="E661" s="60"/>
    </row>
    <row r="662" spans="1:7" x14ac:dyDescent="0.25">
      <c r="A662" s="58"/>
      <c r="B662" s="57"/>
      <c r="C662" s="57"/>
      <c r="D662" s="59"/>
      <c r="E662" s="60"/>
    </row>
    <row r="663" spans="1:7" x14ac:dyDescent="0.25">
      <c r="A663" s="58"/>
      <c r="B663" s="57"/>
      <c r="C663" s="57"/>
      <c r="D663" s="59"/>
      <c r="E663" s="60"/>
    </row>
    <row r="664" spans="1:7" x14ac:dyDescent="0.25">
      <c r="A664" s="58"/>
      <c r="B664" s="57"/>
      <c r="C664" s="57"/>
      <c r="D664" s="59"/>
      <c r="E664" s="60"/>
    </row>
    <row r="665" spans="1:7" x14ac:dyDescent="0.25">
      <c r="A665" s="58"/>
      <c r="B665" s="57"/>
      <c r="C665" s="57"/>
      <c r="D665" s="59"/>
      <c r="E665" s="60"/>
    </row>
    <row r="666" spans="1:7" x14ac:dyDescent="0.25">
      <c r="A666" s="58"/>
      <c r="B666" s="57"/>
      <c r="C666" s="57"/>
      <c r="D666" s="59"/>
      <c r="E666" s="60"/>
    </row>
    <row r="667" spans="1:7" x14ac:dyDescent="0.25">
      <c r="A667" s="58"/>
      <c r="B667" s="57"/>
      <c r="C667" s="57"/>
      <c r="D667" s="59"/>
      <c r="E667" s="60"/>
    </row>
    <row r="668" spans="1:7" x14ac:dyDescent="0.25">
      <c r="A668" s="58"/>
      <c r="B668" s="57"/>
      <c r="C668" s="57"/>
      <c r="D668" s="59"/>
      <c r="E668" s="60"/>
    </row>
    <row r="669" spans="1:7" x14ac:dyDescent="0.25">
      <c r="A669" s="58"/>
      <c r="B669" s="57"/>
      <c r="C669" s="57"/>
      <c r="D669" s="59"/>
      <c r="E669" s="60"/>
    </row>
    <row r="670" spans="1:7" x14ac:dyDescent="0.25">
      <c r="A670" s="58"/>
      <c r="B670" s="57"/>
      <c r="C670" s="57"/>
      <c r="D670" s="59"/>
      <c r="E670" s="60"/>
    </row>
    <row r="671" spans="1:7" x14ac:dyDescent="0.25">
      <c r="A671" s="58"/>
      <c r="B671" s="57"/>
      <c r="C671" s="57"/>
      <c r="D671" s="59"/>
      <c r="E671" s="60"/>
    </row>
    <row r="672" spans="1:7" x14ac:dyDescent="0.25">
      <c r="A672" s="58"/>
      <c r="B672" s="57"/>
      <c r="C672" s="57"/>
      <c r="D672" s="59"/>
      <c r="E672" s="60"/>
      <c r="G672" s="59"/>
    </row>
    <row r="673" spans="1:5" x14ac:dyDescent="0.25">
      <c r="A673" s="58"/>
      <c r="B673" s="57"/>
      <c r="C673" s="57"/>
      <c r="D673" s="59"/>
      <c r="E673" s="60"/>
    </row>
    <row r="674" spans="1:5" x14ac:dyDescent="0.25">
      <c r="A674" s="58"/>
      <c r="B674" s="57"/>
      <c r="C674" s="57"/>
      <c r="D674" s="59"/>
      <c r="E674" s="60"/>
    </row>
    <row r="675" spans="1:5" x14ac:dyDescent="0.25">
      <c r="A675" s="58"/>
      <c r="B675" s="57"/>
      <c r="C675" s="57"/>
      <c r="D675" s="59"/>
      <c r="E675" s="60"/>
    </row>
    <row r="676" spans="1:5" x14ac:dyDescent="0.25">
      <c r="A676" s="58"/>
      <c r="B676" s="57"/>
      <c r="C676" s="57"/>
      <c r="D676" s="59"/>
      <c r="E676" s="60"/>
    </row>
    <row r="677" spans="1:5" x14ac:dyDescent="0.25">
      <c r="A677" s="58"/>
      <c r="B677" s="57"/>
      <c r="C677" s="57"/>
      <c r="D677" s="59"/>
      <c r="E677" s="60"/>
    </row>
    <row r="678" spans="1:5" x14ac:dyDescent="0.25">
      <c r="A678" s="58"/>
      <c r="B678" s="57"/>
      <c r="C678" s="57"/>
      <c r="D678" s="59"/>
      <c r="E678" s="60"/>
    </row>
    <row r="679" spans="1:5" x14ac:dyDescent="0.25">
      <c r="A679" s="58"/>
      <c r="B679" s="57"/>
      <c r="C679" s="57"/>
      <c r="D679" s="59"/>
      <c r="E679" s="60"/>
    </row>
    <row r="680" spans="1:5" x14ac:dyDescent="0.25">
      <c r="A680" s="58"/>
      <c r="B680" s="57"/>
      <c r="C680" s="57"/>
      <c r="D680" s="59"/>
      <c r="E680" s="60"/>
    </row>
    <row r="681" spans="1:5" x14ac:dyDescent="0.25">
      <c r="A681" s="58"/>
      <c r="B681" s="57"/>
      <c r="C681" s="57"/>
      <c r="D681" s="59"/>
      <c r="E681" s="60"/>
    </row>
    <row r="682" spans="1:5" x14ac:dyDescent="0.25">
      <c r="A682" s="58"/>
      <c r="B682" s="57"/>
      <c r="C682" s="57"/>
      <c r="D682" s="59"/>
      <c r="E682" s="60"/>
    </row>
    <row r="683" spans="1:5" x14ac:dyDescent="0.25">
      <c r="A683" s="58"/>
      <c r="B683" s="57"/>
      <c r="C683" s="57"/>
      <c r="D683" s="59"/>
      <c r="E683" s="60"/>
    </row>
    <row r="684" spans="1:5" x14ac:dyDescent="0.25">
      <c r="A684" s="58"/>
      <c r="B684" s="57"/>
      <c r="C684" s="57"/>
      <c r="D684" s="59"/>
      <c r="E684" s="60"/>
    </row>
    <row r="685" spans="1:5" x14ac:dyDescent="0.25">
      <c r="A685" s="58"/>
      <c r="B685" s="57"/>
      <c r="C685" s="57"/>
      <c r="D685" s="59"/>
      <c r="E685" s="60"/>
    </row>
    <row r="686" spans="1:5" x14ac:dyDescent="0.25">
      <c r="A686" s="58"/>
      <c r="B686" s="57"/>
      <c r="C686" s="57"/>
      <c r="D686" s="59"/>
      <c r="E686" s="60"/>
    </row>
    <row r="687" spans="1:5" x14ac:dyDescent="0.25">
      <c r="A687" s="58"/>
      <c r="B687" s="57"/>
      <c r="C687" s="57"/>
      <c r="D687" s="59"/>
      <c r="E687" s="60"/>
    </row>
    <row r="688" spans="1:5" x14ac:dyDescent="0.25">
      <c r="A688" s="58"/>
      <c r="B688" s="57"/>
      <c r="C688" s="57"/>
      <c r="D688" s="59"/>
      <c r="E688" s="60"/>
    </row>
    <row r="689" spans="1:5" x14ac:dyDescent="0.25">
      <c r="A689" s="58"/>
      <c r="B689" s="57"/>
      <c r="C689" s="57"/>
      <c r="D689" s="59"/>
      <c r="E689" s="60"/>
    </row>
    <row r="690" spans="1:5" x14ac:dyDescent="0.25">
      <c r="A690" s="58"/>
      <c r="B690" s="57"/>
      <c r="C690" s="57"/>
      <c r="D690" s="59"/>
      <c r="E690" s="60"/>
    </row>
    <row r="691" spans="1:5" x14ac:dyDescent="0.25">
      <c r="A691" s="58"/>
      <c r="B691" s="57"/>
      <c r="C691" s="57"/>
      <c r="D691" s="59"/>
      <c r="E691" s="60"/>
    </row>
    <row r="692" spans="1:5" x14ac:dyDescent="0.25">
      <c r="A692" s="58"/>
      <c r="B692" s="57"/>
      <c r="C692" s="57"/>
      <c r="D692" s="59"/>
      <c r="E692" s="60"/>
    </row>
    <row r="693" spans="1:5" x14ac:dyDescent="0.25">
      <c r="A693" s="58"/>
      <c r="B693" s="57"/>
      <c r="C693" s="57"/>
      <c r="D693" s="59"/>
      <c r="E693" s="60"/>
    </row>
    <row r="694" spans="1:5" x14ac:dyDescent="0.25">
      <c r="A694" s="58"/>
      <c r="B694" s="57"/>
      <c r="C694" s="57"/>
      <c r="D694" s="59"/>
      <c r="E694" s="60"/>
    </row>
    <row r="695" spans="1:5" x14ac:dyDescent="0.25">
      <c r="A695" s="58"/>
      <c r="B695" s="57"/>
      <c r="C695" s="57"/>
      <c r="D695" s="59"/>
      <c r="E695" s="60"/>
    </row>
    <row r="696" spans="1:5" x14ac:dyDescent="0.25">
      <c r="A696" s="58"/>
      <c r="B696" s="57"/>
      <c r="C696" s="57"/>
      <c r="D696" s="59"/>
      <c r="E696" s="60"/>
    </row>
    <row r="697" spans="1:5" x14ac:dyDescent="0.25">
      <c r="A697" s="58"/>
      <c r="B697" s="57"/>
      <c r="C697" s="57"/>
      <c r="D697" s="59"/>
      <c r="E697" s="60"/>
    </row>
    <row r="698" spans="1:5" x14ac:dyDescent="0.25">
      <c r="A698" s="58"/>
      <c r="B698" s="57"/>
      <c r="C698" s="57"/>
      <c r="D698" s="59"/>
      <c r="E698" s="60"/>
    </row>
    <row r="699" spans="1:5" x14ac:dyDescent="0.25">
      <c r="A699" s="58"/>
      <c r="B699" s="57"/>
      <c r="C699" s="57"/>
      <c r="D699" s="59"/>
      <c r="E699" s="60"/>
    </row>
    <row r="700" spans="1:5" x14ac:dyDescent="0.25">
      <c r="A700" s="58"/>
      <c r="B700" s="57"/>
      <c r="C700" s="57"/>
      <c r="D700" s="59"/>
      <c r="E700" s="60"/>
    </row>
  </sheetData>
  <conditionalFormatting sqref="H15">
    <cfRule type="expression" dxfId="19" priority="1" stopIfTrue="1">
      <formula>IF(RiskSelectedNameCell1=CELL("address",$H$15),TRUE)</formula>
    </cfRule>
  </conditionalFormatting>
  <conditionalFormatting sqref="I8 I15">
    <cfRule type="expression" dxfId="18" priority="2" stopIfTrue="1">
      <formula>RiskIsOutput</formula>
    </cfRule>
  </conditionalFormatting>
  <conditionalFormatting sqref="I10:I13 I17:I20">
    <cfRule type="expression" dxfId="17" priority="3" stopIfTrue="1">
      <formula>RiskIsStatistics</formula>
    </cfRule>
  </conditionalFormatting>
  <pageMargins left="0.75" right="0.75" top="1" bottom="1" header="0.5" footer="0.5"/>
  <pageSetup paperSize="9" scale="62" orientation="portrait" r:id="rId1"/>
  <headerFooter alignWithMargins="0">
    <oddFooter>&amp;LBroadleaf Capital International Pty Ltd 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Normal="100" workbookViewId="0">
      <selection activeCell="B31" sqref="B31"/>
    </sheetView>
  </sheetViews>
  <sheetFormatPr defaultRowHeight="13.2" x14ac:dyDescent="0.25"/>
  <cols>
    <col min="1" max="1" width="8.21875" bestFit="1" customWidth="1"/>
    <col min="2" max="2" width="38.33203125" bestFit="1" customWidth="1"/>
    <col min="3" max="4" width="14.109375" bestFit="1" customWidth="1"/>
    <col min="5" max="5" width="12.44140625" bestFit="1" customWidth="1"/>
    <col min="6" max="7" width="14.109375" bestFit="1" customWidth="1"/>
    <col min="8" max="8" width="12.44140625" bestFit="1" customWidth="1"/>
    <col min="9" max="10" width="14.109375" bestFit="1" customWidth="1"/>
    <col min="11" max="11" width="17" customWidth="1"/>
  </cols>
  <sheetData>
    <row r="1" spans="1:12" x14ac:dyDescent="0.25">
      <c r="F1" s="79" t="s">
        <v>0</v>
      </c>
      <c r="G1" s="79"/>
      <c r="H1" s="79"/>
    </row>
    <row r="2" spans="1:12" x14ac:dyDescent="0.25">
      <c r="A2" s="1"/>
      <c r="C2" s="1" t="s">
        <v>1</v>
      </c>
      <c r="D2" s="1" t="s">
        <v>2</v>
      </c>
      <c r="E2" s="1" t="s">
        <v>3</v>
      </c>
      <c r="F2" t="s">
        <v>4</v>
      </c>
      <c r="G2" t="s">
        <v>5</v>
      </c>
      <c r="H2" t="s">
        <v>6</v>
      </c>
      <c r="I2" s="1" t="s">
        <v>7</v>
      </c>
      <c r="J2" s="1" t="s">
        <v>8</v>
      </c>
      <c r="K2" s="55" t="s">
        <v>9</v>
      </c>
    </row>
    <row r="3" spans="1:12" x14ac:dyDescent="0.25">
      <c r="A3" s="3"/>
      <c r="B3" s="4" t="s">
        <v>10</v>
      </c>
      <c r="C3" s="15">
        <f>'Estimate summary'!C3*'Risk factor allocation'!C3</f>
        <v>0</v>
      </c>
      <c r="D3" s="15">
        <f>'Estimate summary'!D3*'Risk factor allocation'!D3</f>
        <v>0</v>
      </c>
      <c r="E3" s="15">
        <f>'Estimate summary'!E3*'Risk factor allocation'!E3</f>
        <v>0</v>
      </c>
      <c r="F3" s="15">
        <f>'Estimate summary'!F3*'Risk factor allocation'!F3</f>
        <v>0</v>
      </c>
      <c r="G3" s="15">
        <f>'Estimate summary'!G3*'Risk factor allocation'!G3</f>
        <v>0</v>
      </c>
      <c r="H3" s="15">
        <f>'Estimate summary'!H3*'Risk factor allocation'!H3</f>
        <v>0</v>
      </c>
      <c r="I3" s="15">
        <f>'Estimate summary'!I3*'Risk factor allocation'!I3</f>
        <v>0</v>
      </c>
      <c r="J3" s="15">
        <f>'Estimate summary'!J3*'Risk factor allocation'!J3</f>
        <v>6374775</v>
      </c>
      <c r="K3" s="16">
        <f>SUM(C3:J3)</f>
        <v>6374775</v>
      </c>
      <c r="L3" s="5"/>
    </row>
    <row r="4" spans="1:12" x14ac:dyDescent="0.25">
      <c r="A4" s="3"/>
      <c r="B4" s="4" t="s">
        <v>15</v>
      </c>
      <c r="C4" s="15">
        <f>'Estimate summary'!C4*'Risk factor allocation'!C4</f>
        <v>0</v>
      </c>
      <c r="D4" s="15">
        <f ca="1">'Estimate summary'!D4*'Risk factor allocation'!D4</f>
        <v>167539.71111111098</v>
      </c>
      <c r="E4" s="15">
        <f ca="1">'Estimate summary'!E4*'Risk factor allocation'!E4</f>
        <v>159706.24444444434</v>
      </c>
      <c r="F4" s="15">
        <f ca="1">'Estimate summary'!F4*'Risk factor allocation'!F4</f>
        <v>1968867.9111111097</v>
      </c>
      <c r="G4" s="15">
        <f>'Estimate summary'!G4*'Risk factor allocation'!G4</f>
        <v>0</v>
      </c>
      <c r="H4" s="15">
        <f>'Estimate summary'!H4*'Risk factor allocation'!H4</f>
        <v>0</v>
      </c>
      <c r="I4" s="15">
        <f>'Estimate summary'!I4*'Risk factor allocation'!I4</f>
        <v>0</v>
      </c>
      <c r="J4" s="15">
        <f ca="1">'Estimate summary'!J4*'Risk factor allocation'!J4</f>
        <v>893733.866666666</v>
      </c>
      <c r="K4" s="15">
        <f>Estimate!K8</f>
        <v>2929452</v>
      </c>
      <c r="L4" s="5"/>
    </row>
    <row r="5" spans="1:12" x14ac:dyDescent="0.25">
      <c r="A5" s="3"/>
      <c r="B5" s="4" t="s">
        <v>26</v>
      </c>
      <c r="C5" s="15"/>
      <c r="D5" s="15"/>
      <c r="E5" s="15"/>
      <c r="F5" s="15"/>
      <c r="G5" s="15"/>
      <c r="H5" s="15"/>
      <c r="I5" s="15"/>
      <c r="J5" s="15"/>
      <c r="K5" s="16"/>
      <c r="L5" s="5"/>
    </row>
    <row r="6" spans="1:12" x14ac:dyDescent="0.25">
      <c r="A6" s="3"/>
      <c r="B6" s="3" t="s">
        <v>519</v>
      </c>
      <c r="C6" s="3">
        <f ca="1">'Estimate summary'!C6*'Risk factor allocation'!C6</f>
        <v>9209.9782796820018</v>
      </c>
      <c r="D6" s="3">
        <f ca="1">'Estimate summary'!D6*'Risk factor allocation'!D6</f>
        <v>87392.043304668594</v>
      </c>
      <c r="E6" s="3">
        <f ca="1">'Estimate summary'!E6*'Risk factor allocation'!E6</f>
        <v>72470.814477783177</v>
      </c>
      <c r="F6" s="3">
        <f ca="1">'Estimate summary'!F6*'Risk factor allocation'!F6</f>
        <v>462.11579770065998</v>
      </c>
      <c r="G6" s="3">
        <f>'Estimate summary'!G6*'Risk factor allocation'!G6</f>
        <v>0</v>
      </c>
      <c r="H6" s="3">
        <f ca="1">'Estimate summary'!H6*'Risk factor allocation'!H6</f>
        <v>143627.25896662092</v>
      </c>
      <c r="I6" s="3">
        <f ca="1">'Estimate summary'!I6*'Risk factor allocation'!I6</f>
        <v>609685.12348333234</v>
      </c>
      <c r="J6" s="3">
        <f>'Estimate summary'!J6*'Risk factor allocation'!J6</f>
        <v>0</v>
      </c>
      <c r="K6" s="3">
        <f t="shared" ref="K6:K7" ca="1" si="0">SUM(C6:J6)</f>
        <v>922847.33430978772</v>
      </c>
      <c r="L6" s="3"/>
    </row>
    <row r="7" spans="1:12" x14ac:dyDescent="0.25">
      <c r="A7" s="3"/>
      <c r="B7" s="3" t="s">
        <v>520</v>
      </c>
      <c r="C7" s="3">
        <f ca="1">'Estimate summary'!C7*'Risk factor allocation'!C7</f>
        <v>7297587.6073817061</v>
      </c>
      <c r="D7" s="3">
        <f ca="1">'Estimate summary'!D7*'Risk factor allocation'!D7</f>
        <v>66543.605997435312</v>
      </c>
      <c r="E7" s="3">
        <f ca="1">'Estimate summary'!E7*'Risk factor allocation'!E7</f>
        <v>806911.79348363564</v>
      </c>
      <c r="F7" s="3">
        <f>'Estimate summary'!F7*'Risk factor allocation'!F7</f>
        <v>0</v>
      </c>
      <c r="G7" s="3">
        <f>'Estimate summary'!G7*'Risk factor allocation'!G7</f>
        <v>0</v>
      </c>
      <c r="H7" s="3">
        <f ca="1">'Estimate summary'!H7*'Risk factor allocation'!H7</f>
        <v>381947.47931300424</v>
      </c>
      <c r="I7" s="3">
        <f ca="1">'Estimate summary'!I7*'Risk factor allocation'!I7</f>
        <v>101235.17939191178</v>
      </c>
      <c r="J7" s="3">
        <f ca="1">'Estimate summary'!J7*'Risk factor allocation'!J7</f>
        <v>1293479.4617239633</v>
      </c>
      <c r="K7" s="3">
        <f t="shared" ca="1" si="0"/>
        <v>9947705.1272916552</v>
      </c>
      <c r="L7" s="3"/>
    </row>
    <row r="8" spans="1:12" x14ac:dyDescent="0.25">
      <c r="A8" s="3"/>
      <c r="B8" s="4" t="s">
        <v>81</v>
      </c>
      <c r="C8" s="15"/>
      <c r="D8" s="15"/>
      <c r="E8" s="15"/>
      <c r="F8" s="15"/>
      <c r="G8" s="15"/>
      <c r="H8" s="15"/>
      <c r="I8" s="15"/>
      <c r="J8" s="15"/>
      <c r="K8" s="16"/>
      <c r="L8" s="5"/>
    </row>
    <row r="9" spans="1:12" x14ac:dyDescent="0.25">
      <c r="A9" s="3"/>
      <c r="B9" s="7" t="s">
        <v>82</v>
      </c>
      <c r="C9" s="17"/>
      <c r="D9" s="17"/>
      <c r="E9" s="17"/>
      <c r="F9" s="17"/>
      <c r="G9" s="17"/>
      <c r="H9" s="17"/>
      <c r="I9" s="17"/>
      <c r="J9" s="17"/>
      <c r="K9" s="17"/>
      <c r="L9" s="5"/>
    </row>
    <row r="10" spans="1:12" x14ac:dyDescent="0.25">
      <c r="A10" s="3"/>
      <c r="B10" s="6" t="s">
        <v>83</v>
      </c>
      <c r="C10" s="14">
        <f ca="1">'Estimate summary'!C10*'Risk factor allocation'!C10</f>
        <v>2243249.1990769934</v>
      </c>
      <c r="D10" s="14">
        <f>'Estimate summary'!D10*'Risk factor allocation'!D10</f>
        <v>0</v>
      </c>
      <c r="E10" s="14">
        <f>'Estimate summary'!E10*'Risk factor allocation'!E10</f>
        <v>0</v>
      </c>
      <c r="F10" s="14">
        <f>'Estimate summary'!F10*'Risk factor allocation'!F10</f>
        <v>0</v>
      </c>
      <c r="G10" s="14">
        <f>'Estimate summary'!G10*'Risk factor allocation'!G10</f>
        <v>0</v>
      </c>
      <c r="H10" s="14">
        <f>'Estimate summary'!H10*'Risk factor allocation'!H10</f>
        <v>0</v>
      </c>
      <c r="I10" s="14">
        <f>'Estimate summary'!I10*'Risk factor allocation'!I10</f>
        <v>0</v>
      </c>
      <c r="J10" s="14">
        <f>'Estimate summary'!J10*'Risk factor allocation'!J10</f>
        <v>0</v>
      </c>
      <c r="K10" s="12">
        <f ca="1">SUM(C10:J10)</f>
        <v>2243249.1990769934</v>
      </c>
      <c r="L10" s="5"/>
    </row>
    <row r="11" spans="1:12" x14ac:dyDescent="0.25">
      <c r="A11" s="3"/>
      <c r="B11" s="6" t="s">
        <v>457</v>
      </c>
      <c r="C11" s="14">
        <f>'Estimate summary'!C11*'Risk factor allocation'!C11</f>
        <v>0</v>
      </c>
      <c r="D11" s="14">
        <f ca="1">'Estimate summary'!D11*'Risk factor allocation'!D11</f>
        <v>2872194.7689986667</v>
      </c>
      <c r="E11" s="14">
        <f ca="1">'Estimate summary'!E11*'Risk factor allocation'!E11</f>
        <v>2031390.4190681924</v>
      </c>
      <c r="F11" s="14">
        <f>'Estimate summary'!F11*'Risk factor allocation'!F11</f>
        <v>0</v>
      </c>
      <c r="G11" s="14">
        <f>'Estimate summary'!G11*'Risk factor allocation'!G11</f>
        <v>0</v>
      </c>
      <c r="H11" s="14">
        <f ca="1">'Estimate summary'!H11*'Risk factor allocation'!H11</f>
        <v>566661.22596477217</v>
      </c>
      <c r="I11" s="14">
        <f>'Estimate summary'!I11*'Risk factor allocation'!I11</f>
        <v>0</v>
      </c>
      <c r="J11" s="14">
        <f>'Estimate summary'!J11*'Risk factor allocation'!J11</f>
        <v>0</v>
      </c>
      <c r="K11" s="12">
        <f t="shared" ref="K11:K20" ca="1" si="1">SUM(C11:J11)</f>
        <v>5470246.4140316313</v>
      </c>
      <c r="L11" s="5"/>
    </row>
    <row r="12" spans="1:12" x14ac:dyDescent="0.25">
      <c r="A12" s="3"/>
      <c r="B12" s="6" t="s">
        <v>95</v>
      </c>
      <c r="C12" s="14">
        <f>'Estimate summary'!C12*'Risk factor allocation'!C12</f>
        <v>0</v>
      </c>
      <c r="D12" s="14">
        <f ca="1">'Estimate summary'!D12*'Risk factor allocation'!D12</f>
        <v>1094815.854208247</v>
      </c>
      <c r="E12" s="14">
        <f ca="1">'Estimate summary'!E12*'Risk factor allocation'!E12</f>
        <v>558815.52543968521</v>
      </c>
      <c r="F12" s="14">
        <f>'Estimate summary'!F12*'Risk factor allocation'!F12</f>
        <v>0</v>
      </c>
      <c r="G12" s="14">
        <f>'Estimate summary'!G12*'Risk factor allocation'!G12</f>
        <v>0</v>
      </c>
      <c r="H12" s="14">
        <f ca="1">'Estimate summary'!H12*'Risk factor allocation'!H12</f>
        <v>187770.97859306782</v>
      </c>
      <c r="I12" s="14">
        <f ca="1">'Estimate summary'!I12*'Risk factor allocation'!I12</f>
        <v>11439.608889153267</v>
      </c>
      <c r="J12" s="14">
        <f ca="1">'Estimate summary'!J12*'Risk factor allocation'!J12</f>
        <v>548932.35716826364</v>
      </c>
      <c r="K12" s="12">
        <f t="shared" ca="1" si="1"/>
        <v>2401774.3242984167</v>
      </c>
      <c r="L12" s="5"/>
    </row>
    <row r="13" spans="1:12" x14ac:dyDescent="0.25">
      <c r="A13" s="3"/>
      <c r="B13" s="6" t="s">
        <v>100</v>
      </c>
      <c r="C13" s="14">
        <f ca="1">'Estimate summary'!C13*'Risk factor allocation'!C13</f>
        <v>247121.29626664578</v>
      </c>
      <c r="D13" s="14">
        <f ca="1">'Estimate summary'!D13*'Risk factor allocation'!D13</f>
        <v>35869.443415347283</v>
      </c>
      <c r="E13" s="14">
        <f>'Estimate summary'!E13*'Risk factor allocation'!E13</f>
        <v>0</v>
      </c>
      <c r="F13" s="14">
        <f>'Estimate summary'!F13*'Risk factor allocation'!F13</f>
        <v>0</v>
      </c>
      <c r="G13" s="14">
        <f>'Estimate summary'!G13*'Risk factor allocation'!G13</f>
        <v>0</v>
      </c>
      <c r="H13" s="14">
        <f ca="1">'Estimate summary'!H13*'Risk factor allocation'!H13</f>
        <v>66654.258194804992</v>
      </c>
      <c r="I13" s="14">
        <f>'Estimate summary'!I13*'Risk factor allocation'!I13</f>
        <v>0</v>
      </c>
      <c r="J13" s="14">
        <f>'Estimate summary'!J13*'Risk factor allocation'!J13</f>
        <v>0</v>
      </c>
      <c r="K13" s="12">
        <f t="shared" ca="1" si="1"/>
        <v>349644.99787679804</v>
      </c>
      <c r="L13" s="5"/>
    </row>
    <row r="14" spans="1:12" x14ac:dyDescent="0.25">
      <c r="A14" s="3"/>
      <c r="B14" s="6" t="s">
        <v>101</v>
      </c>
      <c r="C14" s="14">
        <f>'Estimate summary'!C14*'Risk factor allocation'!C14</f>
        <v>0</v>
      </c>
      <c r="D14" s="14">
        <f ca="1">'Estimate summary'!D14*'Risk factor allocation'!D14</f>
        <v>2862.8936165000232</v>
      </c>
      <c r="E14" s="14">
        <f ca="1">'Estimate summary'!E14*'Risk factor allocation'!E14</f>
        <v>1487.4683574837011</v>
      </c>
      <c r="F14" s="14">
        <f ca="1">'Estimate summary'!F14*'Risk factor allocation'!F14</f>
        <v>13063.377279018881</v>
      </c>
      <c r="G14" s="14">
        <f>'Estimate summary'!G14*'Risk factor allocation'!G14</f>
        <v>0</v>
      </c>
      <c r="H14" s="14">
        <f ca="1">'Estimate summary'!H14*'Risk factor allocation'!H14</f>
        <v>943.04831446971662</v>
      </c>
      <c r="I14" s="14">
        <f ca="1">'Estimate summary'!I14*'Risk factor allocation'!I14</f>
        <v>110942.0182142187</v>
      </c>
      <c r="J14" s="14">
        <f>'Estimate summary'!J14*'Risk factor allocation'!J14</f>
        <v>0</v>
      </c>
      <c r="K14" s="12">
        <f t="shared" ca="1" si="1"/>
        <v>129298.80578169101</v>
      </c>
      <c r="L14" s="5"/>
    </row>
    <row r="15" spans="1:12" x14ac:dyDescent="0.25">
      <c r="A15" s="3"/>
      <c r="B15" s="6" t="s">
        <v>110</v>
      </c>
      <c r="C15" s="14">
        <f>'Estimate summary'!C15*'Risk factor allocation'!C15</f>
        <v>0</v>
      </c>
      <c r="D15" s="14">
        <f ca="1">'Estimate summary'!D15*'Risk factor allocation'!D15</f>
        <v>226150.83581754341</v>
      </c>
      <c r="E15" s="14">
        <f ca="1">'Estimate summary'!E15*'Risk factor allocation'!E15</f>
        <v>159486.33510493775</v>
      </c>
      <c r="F15" s="14">
        <f>'Estimate summary'!F15*'Risk factor allocation'!F15</f>
        <v>0</v>
      </c>
      <c r="G15" s="14">
        <f>'Estimate summary'!G15*'Risk factor allocation'!G15</f>
        <v>0</v>
      </c>
      <c r="H15" s="14">
        <f>'Estimate summary'!H15*'Risk factor allocation'!H15</f>
        <v>0</v>
      </c>
      <c r="I15" s="14">
        <f ca="1">'Estimate summary'!I15*'Risk factor allocation'!I15</f>
        <v>816001.70898479235</v>
      </c>
      <c r="J15" s="14">
        <f>'Estimate summary'!J15*'Risk factor allocation'!J15</f>
        <v>0</v>
      </c>
      <c r="K15" s="12">
        <f t="shared" ca="1" si="1"/>
        <v>1201638.8799072735</v>
      </c>
      <c r="L15" s="5"/>
    </row>
    <row r="16" spans="1:12" x14ac:dyDescent="0.25">
      <c r="A16" s="3"/>
      <c r="B16" s="6" t="s">
        <v>124</v>
      </c>
      <c r="C16" s="14">
        <f>'Estimate summary'!C16*'Risk factor allocation'!C16</f>
        <v>0</v>
      </c>
      <c r="D16" s="14">
        <f ca="1">'Estimate summary'!D16*'Risk factor allocation'!D16</f>
        <v>0</v>
      </c>
      <c r="E16" s="14">
        <f>'Estimate summary'!E16*'Risk factor allocation'!E16</f>
        <v>0</v>
      </c>
      <c r="F16" s="14">
        <f>'Estimate summary'!F16*'Risk factor allocation'!F16</f>
        <v>0</v>
      </c>
      <c r="G16" s="14">
        <f>'Estimate summary'!G16*'Risk factor allocation'!G16</f>
        <v>0</v>
      </c>
      <c r="H16" s="14">
        <f>'Estimate summary'!H16*'Risk factor allocation'!H16</f>
        <v>0</v>
      </c>
      <c r="I16" s="14">
        <f ca="1">'Estimate summary'!I16*'Risk factor allocation'!I16</f>
        <v>938072.5310980425</v>
      </c>
      <c r="J16" s="14">
        <f>'Estimate summary'!J16*'Risk factor allocation'!J16</f>
        <v>0</v>
      </c>
      <c r="K16" s="12">
        <f t="shared" ca="1" si="1"/>
        <v>938072.5310980425</v>
      </c>
      <c r="L16" s="5"/>
    </row>
    <row r="17" spans="1:12" x14ac:dyDescent="0.25">
      <c r="A17" s="3"/>
      <c r="B17" s="6" t="s">
        <v>135</v>
      </c>
      <c r="C17" s="14">
        <f>'Estimate summary'!C17*'Risk factor allocation'!C17</f>
        <v>0</v>
      </c>
      <c r="D17" s="14">
        <f ca="1">'Estimate summary'!D17*'Risk factor allocation'!D17</f>
        <v>154979.55145165548</v>
      </c>
      <c r="E17" s="14">
        <f ca="1">'Estimate summary'!E17*'Risk factor allocation'!E17</f>
        <v>1221.7995332957084</v>
      </c>
      <c r="F17" s="14">
        <f ca="1">'Estimate summary'!F17*'Risk factor allocation'!F17</f>
        <v>56662.014936933469</v>
      </c>
      <c r="G17" s="14">
        <f>'Estimate summary'!G17*'Risk factor allocation'!G17</f>
        <v>0</v>
      </c>
      <c r="H17" s="14">
        <f ca="1">'Estimate summary'!H17*'Risk factor allocation'!H17</f>
        <v>301753.26967533363</v>
      </c>
      <c r="I17" s="14">
        <f ca="1">'Estimate summary'!I17*'Risk factor allocation'!I17</f>
        <v>280581.91646711814</v>
      </c>
      <c r="J17" s="14">
        <f>'Estimate summary'!J17*'Risk factor allocation'!J17</f>
        <v>0</v>
      </c>
      <c r="K17" s="12">
        <f t="shared" ca="1" si="1"/>
        <v>795198.55206433637</v>
      </c>
      <c r="L17" s="5"/>
    </row>
    <row r="18" spans="1:12" x14ac:dyDescent="0.25">
      <c r="A18" s="3"/>
      <c r="B18" s="6" t="s">
        <v>150</v>
      </c>
      <c r="C18" s="14">
        <f>'Estimate summary'!C18*'Risk factor allocation'!C18</f>
        <v>0</v>
      </c>
      <c r="D18" s="14">
        <f ca="1">'Estimate summary'!D18*'Risk factor allocation'!D18</f>
        <v>19904.768295456684</v>
      </c>
      <c r="E18" s="14">
        <f ca="1">'Estimate summary'!E18*'Risk factor allocation'!E18</f>
        <v>15203.625436518902</v>
      </c>
      <c r="F18" s="14">
        <f>'Estimate summary'!F18*'Risk factor allocation'!F18</f>
        <v>0</v>
      </c>
      <c r="G18" s="14">
        <f>'Estimate summary'!G18*'Risk factor allocation'!G18</f>
        <v>0</v>
      </c>
      <c r="H18" s="14">
        <f ca="1">'Estimate summary'!H18*'Risk factor allocation'!H18</f>
        <v>39733.762377375453</v>
      </c>
      <c r="I18" s="14">
        <f ca="1">'Estimate summary'!I18*'Risk factor allocation'!I18</f>
        <v>333701.50187275704</v>
      </c>
      <c r="J18" s="14">
        <f>'Estimate summary'!J18*'Risk factor allocation'!J18</f>
        <v>0</v>
      </c>
      <c r="K18" s="12">
        <f t="shared" ca="1" si="1"/>
        <v>408543.65798210807</v>
      </c>
      <c r="L18" s="5"/>
    </row>
    <row r="19" spans="1:12" x14ac:dyDescent="0.25">
      <c r="A19" s="3"/>
      <c r="B19" s="6" t="s">
        <v>168</v>
      </c>
      <c r="C19" s="14">
        <f>'Estimate summary'!C19*'Risk factor allocation'!C19</f>
        <v>0</v>
      </c>
      <c r="D19" s="14">
        <f ca="1">'Estimate summary'!D19*'Risk factor allocation'!D19</f>
        <v>0</v>
      </c>
      <c r="E19" s="14">
        <f ca="1">'Estimate summary'!E19*'Risk factor allocation'!E19</f>
        <v>0</v>
      </c>
      <c r="F19" s="14">
        <f>'Estimate summary'!F19*'Risk factor allocation'!F19</f>
        <v>0</v>
      </c>
      <c r="G19" s="14">
        <f>'Estimate summary'!G19*'Risk factor allocation'!G19</f>
        <v>0</v>
      </c>
      <c r="H19" s="14">
        <f>'Estimate summary'!H19*'Risk factor allocation'!H19</f>
        <v>0</v>
      </c>
      <c r="I19" s="14">
        <f ca="1">'Estimate summary'!I19*'Risk factor allocation'!I19</f>
        <v>86051.408248532491</v>
      </c>
      <c r="J19" s="14">
        <f>'Estimate summary'!J19*'Risk factor allocation'!J19</f>
        <v>0</v>
      </c>
      <c r="K19" s="12">
        <f t="shared" ca="1" si="1"/>
        <v>86051.408248532491</v>
      </c>
      <c r="L19" s="5"/>
    </row>
    <row r="20" spans="1:12" x14ac:dyDescent="0.25">
      <c r="A20" s="3"/>
      <c r="B20" s="6" t="s">
        <v>174</v>
      </c>
      <c r="C20" s="14">
        <f>'Estimate summary'!C20*'Risk factor allocation'!C20</f>
        <v>0</v>
      </c>
      <c r="D20" s="14">
        <f ca="1">'Estimate summary'!D20*'Risk factor allocation'!D20</f>
        <v>5285.9693549305184</v>
      </c>
      <c r="E20" s="14">
        <f ca="1">'Estimate summary'!E20*'Risk factor allocation'!E20</f>
        <v>2749.8427119543944</v>
      </c>
      <c r="F20" s="14">
        <f>'Estimate summary'!F20*'Risk factor allocation'!F20</f>
        <v>0</v>
      </c>
      <c r="G20" s="14">
        <f>'Estimate summary'!G20*'Risk factor allocation'!G20</f>
        <v>0</v>
      </c>
      <c r="H20" s="14">
        <f>'Estimate summary'!H20*'Risk factor allocation'!H20</f>
        <v>0</v>
      </c>
      <c r="I20" s="14">
        <f ca="1">'Estimate summary'!I20*'Risk factor allocation'!I20</f>
        <v>85836.793270893366</v>
      </c>
      <c r="J20" s="14">
        <f>'Estimate summary'!J20*'Risk factor allocation'!J20</f>
        <v>0</v>
      </c>
      <c r="K20" s="12">
        <f t="shared" ca="1" si="1"/>
        <v>93872.605337778281</v>
      </c>
      <c r="L20" s="5"/>
    </row>
    <row r="21" spans="1:12" x14ac:dyDescent="0.25">
      <c r="A21" s="3"/>
      <c r="B21" s="7" t="s">
        <v>187</v>
      </c>
      <c r="C21" s="17"/>
      <c r="D21" s="17"/>
      <c r="E21" s="17"/>
      <c r="F21" s="17"/>
      <c r="G21" s="17"/>
      <c r="H21" s="17"/>
      <c r="I21" s="17"/>
      <c r="J21" s="17"/>
      <c r="K21" s="17"/>
      <c r="L21" s="5"/>
    </row>
    <row r="22" spans="1:12" x14ac:dyDescent="0.25">
      <c r="A22" s="3"/>
      <c r="B22" s="6" t="s">
        <v>188</v>
      </c>
      <c r="C22" s="14">
        <f>'Estimate summary'!C22*'Risk factor allocation'!C22</f>
        <v>0</v>
      </c>
      <c r="D22" s="14">
        <f ca="1">'Estimate summary'!D22*'Risk factor allocation'!D22</f>
        <v>11509.590093464321</v>
      </c>
      <c r="E22" s="14">
        <f ca="1">'Estimate summary'!E22*'Risk factor allocation'!E22</f>
        <v>572.35918900938839</v>
      </c>
      <c r="F22" s="14">
        <f ca="1">'Estimate summary'!F22*'Risk factor allocation'!F22</f>
        <v>788.51475483223169</v>
      </c>
      <c r="G22" s="14">
        <f>'Estimate summary'!G22*'Risk factor allocation'!G22</f>
        <v>0</v>
      </c>
      <c r="H22" s="14">
        <f ca="1">'Estimate summary'!H22*'Risk factor allocation'!H22</f>
        <v>24146.299215687886</v>
      </c>
      <c r="I22" s="14">
        <f ca="1">'Estimate summary'!I22*'Risk factor allocation'!I22</f>
        <v>6386.5840590882999</v>
      </c>
      <c r="J22" s="14">
        <f>'Estimate summary'!J22*'Risk factor allocation'!J22</f>
        <v>0</v>
      </c>
      <c r="K22" s="12">
        <f t="shared" ref="K22:K30" ca="1" si="2">SUM(C22:J22)</f>
        <v>43403.347312082129</v>
      </c>
      <c r="L22" s="5"/>
    </row>
    <row r="23" spans="1:12" x14ac:dyDescent="0.25">
      <c r="A23" s="3"/>
      <c r="B23" s="6" t="s">
        <v>195</v>
      </c>
      <c r="C23" s="14">
        <f>'Estimate summary'!C23*'Risk factor allocation'!C23</f>
        <v>0</v>
      </c>
      <c r="D23" s="14">
        <f ca="1">'Estimate summary'!D23*'Risk factor allocation'!D23</f>
        <v>3522.3773817566457</v>
      </c>
      <c r="E23" s="14">
        <f ca="1">'Estimate summary'!E23*'Risk factor allocation'!E23</f>
        <v>340.53153299589576</v>
      </c>
      <c r="F23" s="14">
        <f ca="1">'Estimate summary'!F23*'Risk factor allocation'!F23</f>
        <v>249.34115220370569</v>
      </c>
      <c r="G23" s="14">
        <f>'Estimate summary'!G23*'Risk factor allocation'!G23</f>
        <v>0</v>
      </c>
      <c r="H23" s="14">
        <f ca="1">'Estimate summary'!H23*'Risk factor allocation'!H23</f>
        <v>7021.1811797073024</v>
      </c>
      <c r="I23" s="14">
        <f ca="1">'Estimate summary'!I23*'Risk factor allocation'!I23</f>
        <v>1980.1778927011831</v>
      </c>
      <c r="J23" s="14">
        <f>'Estimate summary'!J23*'Risk factor allocation'!J23</f>
        <v>0</v>
      </c>
      <c r="K23" s="12">
        <f t="shared" ca="1" si="2"/>
        <v>13113.609139364733</v>
      </c>
      <c r="L23" s="5"/>
    </row>
    <row r="24" spans="1:12" x14ac:dyDescent="0.25">
      <c r="A24" s="3"/>
      <c r="B24" s="6" t="s">
        <v>196</v>
      </c>
      <c r="C24" s="14">
        <f>'Estimate summary'!C24*'Risk factor allocation'!C24</f>
        <v>0</v>
      </c>
      <c r="D24" s="14">
        <f ca="1">'Estimate summary'!D24*'Risk factor allocation'!D24</f>
        <v>5985.0815679932248</v>
      </c>
      <c r="E24" s="14">
        <f>'Estimate summary'!E24*'Risk factor allocation'!E24</f>
        <v>0</v>
      </c>
      <c r="F24" s="14">
        <f>'Estimate summary'!F24*'Risk factor allocation'!F24</f>
        <v>0</v>
      </c>
      <c r="G24" s="14">
        <f>'Estimate summary'!G24*'Risk factor allocation'!G24</f>
        <v>0</v>
      </c>
      <c r="H24" s="14">
        <f ca="1">'Estimate summary'!H24*'Risk factor allocation'!H24</f>
        <v>40791.901159565226</v>
      </c>
      <c r="I24" s="14">
        <f>'Estimate summary'!I24*'Risk factor allocation'!I24</f>
        <v>0</v>
      </c>
      <c r="J24" s="14">
        <f>'Estimate summary'!J24*'Risk factor allocation'!J24</f>
        <v>0</v>
      </c>
      <c r="K24" s="12">
        <f t="shared" ca="1" si="2"/>
        <v>46776.982727558454</v>
      </c>
      <c r="L24" s="5"/>
    </row>
    <row r="25" spans="1:12" x14ac:dyDescent="0.25">
      <c r="A25" s="3"/>
      <c r="B25" s="6" t="s">
        <v>201</v>
      </c>
      <c r="C25" s="14">
        <f>'Estimate summary'!C25*'Risk factor allocation'!C25</f>
        <v>0</v>
      </c>
      <c r="D25" s="14">
        <f ca="1">'Estimate summary'!D25*'Risk factor allocation'!D25</f>
        <v>10240.350243634699</v>
      </c>
      <c r="E25" s="14">
        <f>'Estimate summary'!E25*'Risk factor allocation'!E25</f>
        <v>0</v>
      </c>
      <c r="F25" s="14">
        <f>'Estimate summary'!F25*'Risk factor allocation'!F25</f>
        <v>0</v>
      </c>
      <c r="G25" s="14">
        <f>'Estimate summary'!G25*'Risk factor allocation'!G25</f>
        <v>0</v>
      </c>
      <c r="H25" s="14">
        <f ca="1">'Estimate summary'!H25*'Risk factor allocation'!H25</f>
        <v>93726.215362500414</v>
      </c>
      <c r="I25" s="14">
        <f>'Estimate summary'!I25*'Risk factor allocation'!I25</f>
        <v>0</v>
      </c>
      <c r="J25" s="14">
        <f>'Estimate summary'!J25*'Risk factor allocation'!J25</f>
        <v>0</v>
      </c>
      <c r="K25" s="12">
        <f t="shared" ca="1" si="2"/>
        <v>103966.56560613512</v>
      </c>
      <c r="L25" s="5"/>
    </row>
    <row r="26" spans="1:12" x14ac:dyDescent="0.25">
      <c r="A26" s="3"/>
      <c r="B26" s="6" t="s">
        <v>202</v>
      </c>
      <c r="C26" s="14">
        <f>'Estimate summary'!C26*'Risk factor allocation'!C26</f>
        <v>0</v>
      </c>
      <c r="D26" s="14">
        <f ca="1">'Estimate summary'!D26*'Risk factor allocation'!D26</f>
        <v>2305.2331974051058</v>
      </c>
      <c r="E26" s="14">
        <f>'Estimate summary'!E26*'Risk factor allocation'!E26</f>
        <v>0</v>
      </c>
      <c r="F26" s="14">
        <f>'Estimate summary'!F26*'Risk factor allocation'!F26</f>
        <v>0</v>
      </c>
      <c r="G26" s="14">
        <f>'Estimate summary'!G26*'Risk factor allocation'!G26</f>
        <v>0</v>
      </c>
      <c r="H26" s="14">
        <f ca="1">'Estimate summary'!H26*'Risk factor allocation'!H26</f>
        <v>16326.990140457625</v>
      </c>
      <c r="I26" s="14">
        <f>'Estimate summary'!I26*'Risk factor allocation'!I26</f>
        <v>0</v>
      </c>
      <c r="J26" s="14">
        <f>'Estimate summary'!J26*'Risk factor allocation'!J26</f>
        <v>0</v>
      </c>
      <c r="K26" s="12">
        <f t="shared" ca="1" si="2"/>
        <v>18632.223337862732</v>
      </c>
      <c r="L26" s="5"/>
    </row>
    <row r="27" spans="1:12" x14ac:dyDescent="0.25">
      <c r="A27" s="3"/>
      <c r="B27" s="6" t="s">
        <v>203</v>
      </c>
      <c r="C27" s="14">
        <f>'Estimate summary'!C27*'Risk factor allocation'!C27</f>
        <v>0</v>
      </c>
      <c r="D27" s="14">
        <f ca="1">'Estimate summary'!D27*'Risk factor allocation'!D27</f>
        <v>49160.548325350486</v>
      </c>
      <c r="E27" s="14">
        <f>'Estimate summary'!E27*'Risk factor allocation'!E27</f>
        <v>0</v>
      </c>
      <c r="F27" s="14">
        <f>'Estimate summary'!F27*'Risk factor allocation'!F27</f>
        <v>0</v>
      </c>
      <c r="G27" s="14">
        <f ca="1">'Estimate summary'!G27*'Risk factor allocation'!G27</f>
        <v>70174.839600268169</v>
      </c>
      <c r="H27" s="14">
        <f ca="1">'Estimate summary'!H27*'Risk factor allocation'!H27</f>
        <v>109311.55394717169</v>
      </c>
      <c r="I27" s="14">
        <f ca="1">'Estimate summary'!I27*'Risk factor allocation'!I27</f>
        <v>74460.813027088298</v>
      </c>
      <c r="J27" s="14">
        <f>'Estimate summary'!J27*'Risk factor allocation'!J27</f>
        <v>0</v>
      </c>
      <c r="K27" s="12">
        <f t="shared" ca="1" si="2"/>
        <v>303107.75489987864</v>
      </c>
      <c r="L27" s="5"/>
    </row>
    <row r="28" spans="1:12" x14ac:dyDescent="0.25">
      <c r="A28" s="3"/>
      <c r="B28" s="6" t="s">
        <v>216</v>
      </c>
      <c r="C28" s="14">
        <f>'Estimate summary'!C28*'Risk factor allocation'!C28</f>
        <v>0</v>
      </c>
      <c r="D28" s="14">
        <f>'Estimate summary'!D28*'Risk factor allocation'!D28</f>
        <v>0</v>
      </c>
      <c r="E28" s="14">
        <f>'Estimate summary'!E28*'Risk factor allocation'!E28</f>
        <v>0</v>
      </c>
      <c r="F28" s="14">
        <f>'Estimate summary'!F28*'Risk factor allocation'!F28</f>
        <v>0</v>
      </c>
      <c r="G28" s="14">
        <f>'Estimate summary'!G28*'Risk factor allocation'!G28</f>
        <v>0</v>
      </c>
      <c r="H28" s="14">
        <f>'Estimate summary'!H28*'Risk factor allocation'!H28</f>
        <v>0</v>
      </c>
      <c r="I28" s="14">
        <f ca="1">'Estimate summary'!I28*'Risk factor allocation'!I28</f>
        <v>38608.365356403221</v>
      </c>
      <c r="J28" s="14">
        <f>'Estimate summary'!J28*'Risk factor allocation'!J28</f>
        <v>0</v>
      </c>
      <c r="K28" s="12">
        <f t="shared" ca="1" si="2"/>
        <v>38608.365356403221</v>
      </c>
      <c r="L28" s="5"/>
    </row>
    <row r="29" spans="1:12" x14ac:dyDescent="0.25">
      <c r="A29" s="3"/>
      <c r="B29" s="6" t="s">
        <v>225</v>
      </c>
      <c r="C29" s="14">
        <f>'Estimate summary'!C29*'Risk factor allocation'!C29</f>
        <v>0</v>
      </c>
      <c r="D29" s="14">
        <f ca="1">'Estimate summary'!D29*'Risk factor allocation'!D29</f>
        <v>7757.5181866452249</v>
      </c>
      <c r="E29" s="14">
        <f ca="1">'Estimate summary'!E29*'Risk factor allocation'!E29</f>
        <v>3173.4876739454653</v>
      </c>
      <c r="F29" s="14">
        <f>'Estimate summary'!F29*'Risk factor allocation'!F29</f>
        <v>0</v>
      </c>
      <c r="G29" s="14">
        <f>'Estimate summary'!G29*'Risk factor allocation'!G29</f>
        <v>0</v>
      </c>
      <c r="H29" s="14">
        <f ca="1">'Estimate summary'!H29*'Risk factor allocation'!H29</f>
        <v>25604.028135681754</v>
      </c>
      <c r="I29" s="14">
        <f ca="1">'Estimate summary'!I29*'Risk factor allocation'!I29</f>
        <v>25895.419143210831</v>
      </c>
      <c r="J29" s="14">
        <f>'Estimate summary'!J29*'Risk factor allocation'!J29</f>
        <v>0</v>
      </c>
      <c r="K29" s="12">
        <f t="shared" ca="1" si="2"/>
        <v>62430.453139483274</v>
      </c>
      <c r="L29" s="5"/>
    </row>
    <row r="30" spans="1:12" x14ac:dyDescent="0.25">
      <c r="A30" s="3"/>
      <c r="B30" s="6" t="s">
        <v>230</v>
      </c>
      <c r="C30" s="14">
        <f>'Estimate summary'!C30*'Risk factor allocation'!C30</f>
        <v>0</v>
      </c>
      <c r="D30" s="14">
        <f ca="1">'Estimate summary'!D30*'Risk factor allocation'!D30</f>
        <v>1878386.1783180479</v>
      </c>
      <c r="E30" s="14">
        <f ca="1">'Estimate summary'!E30*'Risk factor allocation'!E30</f>
        <v>1195394.3507107978</v>
      </c>
      <c r="F30" s="14">
        <f ca="1">'Estimate summary'!F30*'Risk factor allocation'!F30</f>
        <v>6736.4733514180662</v>
      </c>
      <c r="G30" s="14">
        <f>'Estimate summary'!G30*'Risk factor allocation'!G30</f>
        <v>0</v>
      </c>
      <c r="H30" s="14">
        <f ca="1">'Estimate summary'!H30*'Risk factor allocation'!H30</f>
        <v>1207111.4328430793</v>
      </c>
      <c r="I30" s="14">
        <f ca="1">'Estimate summary'!I30*'Risk factor allocation'!I30</f>
        <v>48734.831786036433</v>
      </c>
      <c r="J30" s="14">
        <f>'Estimate summary'!J30*'Risk factor allocation'!J30</f>
        <v>0</v>
      </c>
      <c r="K30" s="12">
        <f t="shared" ca="1" si="2"/>
        <v>4336363.2670093793</v>
      </c>
      <c r="L30" s="5"/>
    </row>
    <row r="31" spans="1:12" x14ac:dyDescent="0.25">
      <c r="A31" s="3"/>
      <c r="B31" s="7" t="s">
        <v>455</v>
      </c>
      <c r="C31" s="17"/>
      <c r="D31" s="17"/>
      <c r="E31" s="17"/>
      <c r="F31" s="17"/>
      <c r="G31" s="17"/>
      <c r="H31" s="17"/>
      <c r="I31" s="17"/>
      <c r="J31" s="17"/>
      <c r="K31" s="17"/>
      <c r="L31" s="5"/>
    </row>
    <row r="32" spans="1:12" x14ac:dyDescent="0.25">
      <c r="A32" s="3"/>
      <c r="B32" s="6" t="s">
        <v>243</v>
      </c>
      <c r="C32" s="14">
        <f>'Estimate summary'!C32*'Risk factor allocation'!C32</f>
        <v>0</v>
      </c>
      <c r="D32" s="14">
        <f ca="1">'Estimate summary'!D32*'Risk factor allocation'!D32</f>
        <v>5674.8755599191945</v>
      </c>
      <c r="E32" s="14">
        <f ca="1">'Estimate summary'!E32*'Risk factor allocation'!E32</f>
        <v>2111.9610385152623</v>
      </c>
      <c r="F32" s="14">
        <f ca="1">'Estimate summary'!F32*'Risk factor allocation'!F32</f>
        <v>275373.8602784439</v>
      </c>
      <c r="G32" s="14">
        <f ca="1">'Estimate summary'!G32*'Risk factor allocation'!G32</f>
        <v>227403.74165090467</v>
      </c>
      <c r="H32" s="14">
        <f>'Estimate summary'!H32*'Risk factor allocation'!H32</f>
        <v>0</v>
      </c>
      <c r="I32" s="14">
        <f ca="1">'Estimate summary'!I32*'Risk factor allocation'!I32</f>
        <v>635302.31059377769</v>
      </c>
      <c r="J32" s="14">
        <f>'Estimate summary'!J32*'Risk factor allocation'!J32</f>
        <v>0</v>
      </c>
      <c r="K32" s="12">
        <f t="shared" ref="K32:K38" ca="1" si="3">SUM(C32:J32)</f>
        <v>1145866.7491215607</v>
      </c>
      <c r="L32" s="5"/>
    </row>
    <row r="33" spans="1:12" x14ac:dyDescent="0.25">
      <c r="A33" s="3"/>
      <c r="B33" s="6" t="s">
        <v>251</v>
      </c>
      <c r="C33" s="14">
        <f>'Estimate summary'!C33*'Risk factor allocation'!C33</f>
        <v>0</v>
      </c>
      <c r="D33" s="14">
        <f ca="1">'Estimate summary'!D33*'Risk factor allocation'!D33</f>
        <v>126521.8940464654</v>
      </c>
      <c r="E33" s="14">
        <f ca="1">'Estimate summary'!E33*'Risk factor allocation'!E33</f>
        <v>11446.524611884161</v>
      </c>
      <c r="F33" s="14">
        <f ca="1">'Estimate summary'!F33*'Risk factor allocation'!F33</f>
        <v>48273.455849996019</v>
      </c>
      <c r="G33" s="14">
        <f ca="1">'Estimate summary'!G33*'Risk factor allocation'!G33</f>
        <v>34324.854960654295</v>
      </c>
      <c r="H33" s="14">
        <f ca="1">'Estimate summary'!H33*'Risk factor allocation'!H33</f>
        <v>16943.103246884781</v>
      </c>
      <c r="I33" s="14">
        <f>'Estimate summary'!I33*'Risk factor allocation'!I33</f>
        <v>0</v>
      </c>
      <c r="J33" s="14">
        <f>'Estimate summary'!J33*'Risk factor allocation'!J33</f>
        <v>0</v>
      </c>
      <c r="K33" s="12">
        <f t="shared" ca="1" si="3"/>
        <v>237509.83271588461</v>
      </c>
      <c r="L33" s="5"/>
    </row>
    <row r="34" spans="1:12" x14ac:dyDescent="0.25">
      <c r="A34" s="3"/>
      <c r="B34" s="6" t="s">
        <v>266</v>
      </c>
      <c r="C34" s="14">
        <f>'Estimate summary'!C34*'Risk factor allocation'!C34</f>
        <v>0</v>
      </c>
      <c r="D34" s="14">
        <f ca="1">'Estimate summary'!D34*'Risk factor allocation'!D34</f>
        <v>747668.05678972125</v>
      </c>
      <c r="E34" s="14">
        <f ca="1">'Estimate summary'!E34*'Risk factor allocation'!E34</f>
        <v>148205.22974897502</v>
      </c>
      <c r="F34" s="14">
        <f ca="1">'Estimate summary'!F34*'Risk factor allocation'!F34</f>
        <v>290668.54034417227</v>
      </c>
      <c r="G34" s="14">
        <f ca="1">'Estimate summary'!G34*'Risk factor allocation'!G34</f>
        <v>883333.31810551591</v>
      </c>
      <c r="H34" s="14">
        <f ca="1">'Estimate summary'!H34*'Risk factor allocation'!H34</f>
        <v>75449.349034058265</v>
      </c>
      <c r="I34" s="14">
        <f ca="1">'Estimate summary'!I34*'Risk factor allocation'!I34</f>
        <v>21075.242339986838</v>
      </c>
      <c r="J34" s="14">
        <f>'Estimate summary'!J34*'Risk factor allocation'!J34</f>
        <v>0</v>
      </c>
      <c r="K34" s="12">
        <f t="shared" ca="1" si="3"/>
        <v>2166399.7363624298</v>
      </c>
      <c r="L34" s="5"/>
    </row>
    <row r="35" spans="1:12" x14ac:dyDescent="0.25">
      <c r="A35" s="3"/>
      <c r="B35" s="6" t="s">
        <v>209</v>
      </c>
      <c r="C35" s="14">
        <f>'Estimate summary'!C35*'Risk factor allocation'!C35</f>
        <v>0</v>
      </c>
      <c r="D35" s="14">
        <f ca="1">'Estimate summary'!D35*'Risk factor allocation'!D35</f>
        <v>3227717.0084710233</v>
      </c>
      <c r="E35" s="14">
        <f ca="1">'Estimate summary'!E35*'Risk factor allocation'!E35</f>
        <v>186114.1032500907</v>
      </c>
      <c r="F35" s="14">
        <f ca="1">'Estimate summary'!F35*'Risk factor allocation'!F35</f>
        <v>1333255.3978289252</v>
      </c>
      <c r="G35" s="14">
        <f ca="1">'Estimate summary'!G35*'Risk factor allocation'!G35</f>
        <v>2177636.3410945395</v>
      </c>
      <c r="H35" s="14">
        <f ca="1">'Estimate summary'!H35*'Risk factor allocation'!H35</f>
        <v>1601147.778782099</v>
      </c>
      <c r="I35" s="14">
        <f ca="1">'Estimate summary'!I35*'Risk factor allocation'!I35</f>
        <v>1837861.0857691194</v>
      </c>
      <c r="J35" s="14">
        <f>'Estimate summary'!J35*'Risk factor allocation'!J35</f>
        <v>0</v>
      </c>
      <c r="K35" s="12">
        <f t="shared" ca="1" si="3"/>
        <v>10363731.715195796</v>
      </c>
      <c r="L35" s="5"/>
    </row>
    <row r="36" spans="1:12" x14ac:dyDescent="0.25">
      <c r="A36" s="3"/>
      <c r="B36" s="6" t="s">
        <v>304</v>
      </c>
      <c r="C36" s="14">
        <f>'Estimate summary'!C36*'Risk factor allocation'!C36</f>
        <v>0</v>
      </c>
      <c r="D36" s="14">
        <f ca="1">'Estimate summary'!D36*'Risk factor allocation'!D36</f>
        <v>208993.47541645853</v>
      </c>
      <c r="E36" s="14">
        <f>'Estimate summary'!E36*'Risk factor allocation'!E36</f>
        <v>0</v>
      </c>
      <c r="F36" s="14">
        <f ca="1">'Estimate summary'!F36*'Risk factor allocation'!F36</f>
        <v>87534.572721187913</v>
      </c>
      <c r="G36" s="14">
        <f ca="1">'Estimate summary'!G36*'Risk factor allocation'!G36</f>
        <v>101813.10544233833</v>
      </c>
      <c r="H36" s="14">
        <f ca="1">'Estimate summary'!H36*'Risk factor allocation'!H36</f>
        <v>1055777.4907265252</v>
      </c>
      <c r="I36" s="14">
        <f>'Estimate summary'!I36*'Risk factor allocation'!I36</f>
        <v>0</v>
      </c>
      <c r="J36" s="14">
        <f>'Estimate summary'!J36*'Risk factor allocation'!J36</f>
        <v>0</v>
      </c>
      <c r="K36" s="12">
        <f t="shared" ca="1" si="3"/>
        <v>1454118.64430651</v>
      </c>
      <c r="L36" s="5"/>
    </row>
    <row r="37" spans="1:12" x14ac:dyDescent="0.25">
      <c r="A37" s="3"/>
      <c r="B37" s="6" t="s">
        <v>314</v>
      </c>
      <c r="C37" s="14">
        <f>'Estimate summary'!C37*'Risk factor allocation'!C37</f>
        <v>0</v>
      </c>
      <c r="D37" s="14">
        <f ca="1">'Estimate summary'!D37*'Risk factor allocation'!D37</f>
        <v>35840.372317403489</v>
      </c>
      <c r="E37" s="14">
        <f ca="1">'Estimate summary'!E37*'Risk factor allocation'!E37</f>
        <v>381.26116329202318</v>
      </c>
      <c r="F37" s="14">
        <f>'Estimate summary'!F37*'Risk factor allocation'!F37</f>
        <v>0</v>
      </c>
      <c r="G37" s="14">
        <f>'Estimate summary'!G37*'Risk factor allocation'!G37</f>
        <v>0</v>
      </c>
      <c r="H37" s="14">
        <f ca="1">'Estimate summary'!H37*'Risk factor allocation'!H37</f>
        <v>149041.29067885404</v>
      </c>
      <c r="I37" s="14">
        <f>'Estimate summary'!I37*'Risk factor allocation'!I37</f>
        <v>0</v>
      </c>
      <c r="J37" s="14">
        <f>'Estimate summary'!J37*'Risk factor allocation'!J37</f>
        <v>0</v>
      </c>
      <c r="K37" s="12">
        <f t="shared" ca="1" si="3"/>
        <v>185262.92415954956</v>
      </c>
      <c r="L37" s="5"/>
    </row>
    <row r="38" spans="1:12" x14ac:dyDescent="0.25">
      <c r="A38" s="3"/>
      <c r="B38" s="6" t="s">
        <v>324</v>
      </c>
      <c r="C38" s="14">
        <f>'Estimate summary'!C38*'Risk factor allocation'!C38</f>
        <v>0</v>
      </c>
      <c r="D38" s="14">
        <f ca="1">'Estimate summary'!D38*'Risk factor allocation'!D38</f>
        <v>20243.688556607951</v>
      </c>
      <c r="E38" s="14">
        <f ca="1">'Estimate summary'!E38*'Risk factor allocation'!E38</f>
        <v>273.72596338914485</v>
      </c>
      <c r="F38" s="14">
        <f ca="1">'Estimate summary'!F38*'Risk factor allocation'!F38</f>
        <v>11226.55494650384</v>
      </c>
      <c r="G38" s="14">
        <f ca="1">'Estimate summary'!G38*'Risk factor allocation'!G38</f>
        <v>12578.901969689214</v>
      </c>
      <c r="H38" s="14">
        <f ca="1">'Estimate summary'!H38*'Risk factor allocation'!H38</f>
        <v>2462.6300217187954</v>
      </c>
      <c r="I38" s="14">
        <f>'Estimate summary'!I38*'Risk factor allocation'!I38</f>
        <v>0</v>
      </c>
      <c r="J38" s="14">
        <f>'Estimate summary'!J38*'Risk factor allocation'!J38</f>
        <v>0</v>
      </c>
      <c r="K38" s="12">
        <f t="shared" ca="1" si="3"/>
        <v>46785.501457908947</v>
      </c>
      <c r="L38" s="5"/>
    </row>
    <row r="39" spans="1:12" x14ac:dyDescent="0.25">
      <c r="A39" s="3"/>
      <c r="B39" s="7" t="s">
        <v>334</v>
      </c>
      <c r="C39" s="17">
        <f>Estimate!C261</f>
        <v>0</v>
      </c>
      <c r="D39" s="17">
        <f>Estimate!D261</f>
        <v>112668</v>
      </c>
      <c r="E39" s="17">
        <f>Estimate!E261</f>
        <v>83029</v>
      </c>
      <c r="F39" s="17">
        <f>Estimate!F261</f>
        <v>0</v>
      </c>
      <c r="G39" s="17">
        <f>Estimate!G261</f>
        <v>0</v>
      </c>
      <c r="H39" s="17">
        <f>Estimate!H261</f>
        <v>0</v>
      </c>
      <c r="I39" s="17">
        <f>Estimate!I261</f>
        <v>7060</v>
      </c>
      <c r="J39" s="17">
        <f>Estimate!J261</f>
        <v>0</v>
      </c>
      <c r="K39" s="18">
        <f>SUM(C39:J39)</f>
        <v>202757</v>
      </c>
      <c r="L39" s="5"/>
    </row>
    <row r="40" spans="1:12" x14ac:dyDescent="0.25">
      <c r="A40" s="3"/>
      <c r="B40" s="7" t="s">
        <v>338</v>
      </c>
      <c r="C40" s="17"/>
      <c r="D40" s="17"/>
      <c r="E40" s="17"/>
      <c r="F40" s="17"/>
      <c r="G40" s="17"/>
      <c r="H40" s="17"/>
      <c r="I40" s="17"/>
      <c r="J40" s="17"/>
      <c r="K40" s="17"/>
      <c r="L40" s="5"/>
    </row>
    <row r="41" spans="1:12" x14ac:dyDescent="0.25">
      <c r="A41" s="3"/>
      <c r="B41" s="6" t="s">
        <v>243</v>
      </c>
      <c r="C41" s="14">
        <f>'Estimate summary'!C41*'Risk factor allocation'!C41</f>
        <v>0</v>
      </c>
      <c r="D41" s="14">
        <f ca="1">'Estimate summary'!D41*'Risk factor allocation'!D41</f>
        <v>5075.7754069212569</v>
      </c>
      <c r="E41" s="14">
        <f ca="1">'Estimate summary'!E41*'Risk factor allocation'!E41</f>
        <v>2074.2474485417756</v>
      </c>
      <c r="F41" s="14">
        <f ca="1">'Estimate summary'!F41*'Risk factor allocation'!F41</f>
        <v>88698.319874310531</v>
      </c>
      <c r="G41" s="14">
        <f ca="1">'Estimate summary'!G41*'Risk factor allocation'!G41</f>
        <v>67393.799607785186</v>
      </c>
      <c r="H41" s="14">
        <f>'Estimate summary'!H41*'Risk factor allocation'!H41</f>
        <v>0</v>
      </c>
      <c r="I41" s="14">
        <f ca="1">'Estimate summary'!I41*'Risk factor allocation'!I41</f>
        <v>180037.97814644236</v>
      </c>
      <c r="J41" s="14">
        <f>'Estimate summary'!J41*'Risk factor allocation'!J41</f>
        <v>0</v>
      </c>
      <c r="K41" s="12">
        <f t="shared" ref="K41:K49" ca="1" si="4">SUM(C41:J41)</f>
        <v>343280.12048400112</v>
      </c>
      <c r="L41" s="5"/>
    </row>
    <row r="42" spans="1:12" x14ac:dyDescent="0.25">
      <c r="A42" s="3"/>
      <c r="B42" s="6" t="s">
        <v>352</v>
      </c>
      <c r="C42" s="14">
        <f>'Estimate summary'!C42*'Risk factor allocation'!C42</f>
        <v>0</v>
      </c>
      <c r="D42" s="14">
        <f ca="1">'Estimate summary'!D42*'Risk factor allocation'!D42</f>
        <v>118605.29006797061</v>
      </c>
      <c r="E42" s="14">
        <f ca="1">'Estimate summary'!E42*'Risk factor allocation'!E42</f>
        <v>2084.4449354911467</v>
      </c>
      <c r="F42" s="14">
        <f ca="1">'Estimate summary'!F42*'Risk factor allocation'!F42</f>
        <v>49423.345574974854</v>
      </c>
      <c r="G42" s="14">
        <f ca="1">'Estimate summary'!G42*'Risk factor allocation'!G42</f>
        <v>35713.090121999725</v>
      </c>
      <c r="H42" s="14">
        <f ca="1">'Estimate summary'!H42*'Risk factor allocation'!H42</f>
        <v>15882.920152788891</v>
      </c>
      <c r="I42" s="14">
        <f>'Estimate summary'!I42*'Risk factor allocation'!I42</f>
        <v>0</v>
      </c>
      <c r="J42" s="14">
        <f>'Estimate summary'!J42*'Risk factor allocation'!J42</f>
        <v>0</v>
      </c>
      <c r="K42" s="12">
        <f t="shared" ca="1" si="4"/>
        <v>221709.09085322524</v>
      </c>
      <c r="L42" s="5"/>
    </row>
    <row r="43" spans="1:12" x14ac:dyDescent="0.25">
      <c r="A43" s="3"/>
      <c r="B43" s="6" t="s">
        <v>354</v>
      </c>
      <c r="C43" s="14">
        <f>'Estimate summary'!C43*'Risk factor allocation'!C43</f>
        <v>0</v>
      </c>
      <c r="D43" s="14">
        <f ca="1">'Estimate summary'!D43*'Risk factor allocation'!D43</f>
        <v>391525.22666754114</v>
      </c>
      <c r="E43" s="14">
        <f ca="1">'Estimate summary'!E43*'Risk factor allocation'!E43</f>
        <v>99742.69965941117</v>
      </c>
      <c r="F43" s="14">
        <f ca="1">'Estimate summary'!F43*'Risk factor allocation'!F43</f>
        <v>337046.03464218415</v>
      </c>
      <c r="G43" s="14">
        <f ca="1">'Estimate summary'!G43*'Risk factor allocation'!G43</f>
        <v>405531.17361124657</v>
      </c>
      <c r="H43" s="14">
        <f ca="1">'Estimate summary'!H43*'Risk factor allocation'!H43</f>
        <v>58609.551029609989</v>
      </c>
      <c r="I43" s="14">
        <f ca="1">'Estimate summary'!I43*'Risk factor allocation'!I43</f>
        <v>22063.784653206996</v>
      </c>
      <c r="J43" s="14">
        <f>'Estimate summary'!J43*'Risk factor allocation'!J43</f>
        <v>0</v>
      </c>
      <c r="K43" s="12">
        <f t="shared" ca="1" si="4"/>
        <v>1314518.4702632001</v>
      </c>
      <c r="L43" s="5"/>
    </row>
    <row r="44" spans="1:12" x14ac:dyDescent="0.25">
      <c r="A44" s="3"/>
      <c r="B44" s="6" t="s">
        <v>4</v>
      </c>
      <c r="C44" s="14">
        <f>'Estimate summary'!C44*'Risk factor allocation'!C44</f>
        <v>0</v>
      </c>
      <c r="D44" s="14">
        <f ca="1">'Estimate summary'!D44*'Risk factor allocation'!D44</f>
        <v>827496.13243754557</v>
      </c>
      <c r="E44" s="14">
        <f ca="1">'Estimate summary'!E44*'Risk factor allocation'!E44</f>
        <v>178285.75793998924</v>
      </c>
      <c r="F44" s="14">
        <f ca="1">'Estimate summary'!F44*'Risk factor allocation'!F44</f>
        <v>529867.51573888375</v>
      </c>
      <c r="G44" s="14">
        <f ca="1">'Estimate summary'!G44*'Risk factor allocation'!G44</f>
        <v>940232.5724999985</v>
      </c>
      <c r="H44" s="14">
        <f ca="1">'Estimate summary'!H44*'Risk factor allocation'!H44</f>
        <v>424549.06784594158</v>
      </c>
      <c r="I44" s="14">
        <f ca="1">'Estimate summary'!I44*'Risk factor allocation'!I44</f>
        <v>644916.40912471467</v>
      </c>
      <c r="J44" s="14">
        <f ca="1">'Estimate summary'!J44*'Risk factor allocation'!J44</f>
        <v>1572.0050174617636</v>
      </c>
      <c r="K44" s="12">
        <f t="shared" ca="1" si="4"/>
        <v>3546919.460604535</v>
      </c>
      <c r="L44" s="5"/>
    </row>
    <row r="45" spans="1:12" x14ac:dyDescent="0.25">
      <c r="A45" s="3"/>
      <c r="B45" s="6" t="s">
        <v>174</v>
      </c>
      <c r="C45" s="14">
        <f>'Estimate summary'!C45*'Risk factor allocation'!C45</f>
        <v>0</v>
      </c>
      <c r="D45" s="14">
        <f ca="1">'Estimate summary'!D45*'Risk factor allocation'!D45</f>
        <v>20025.987959820868</v>
      </c>
      <c r="E45" s="14">
        <f>'Estimate summary'!E45*'Risk factor allocation'!E45</f>
        <v>0</v>
      </c>
      <c r="F45" s="14">
        <f>'Estimate summary'!F45*'Risk factor allocation'!F45</f>
        <v>0</v>
      </c>
      <c r="G45" s="14">
        <f>'Estimate summary'!G45*'Risk factor allocation'!G45</f>
        <v>0</v>
      </c>
      <c r="H45" s="14">
        <f ca="1">'Estimate summary'!H45*'Risk factor allocation'!H45</f>
        <v>155853.55562597371</v>
      </c>
      <c r="I45" s="14">
        <f>'Estimate summary'!I45*'Risk factor allocation'!I45</f>
        <v>0</v>
      </c>
      <c r="J45" s="14">
        <f>'Estimate summary'!J45*'Risk factor allocation'!J45</f>
        <v>0</v>
      </c>
      <c r="K45" s="12">
        <f t="shared" ca="1" si="4"/>
        <v>175879.54358579457</v>
      </c>
      <c r="L45" s="5"/>
    </row>
    <row r="46" spans="1:12" x14ac:dyDescent="0.25">
      <c r="A46" s="3"/>
      <c r="B46" s="6" t="s">
        <v>379</v>
      </c>
      <c r="C46" s="14">
        <f>'Estimate summary'!C46*'Risk factor allocation'!C46</f>
        <v>0</v>
      </c>
      <c r="D46" s="14">
        <f ca="1">'Estimate summary'!D46*'Risk factor allocation'!D46</f>
        <v>9980.3938100829855</v>
      </c>
      <c r="E46" s="14">
        <f>'Estimate summary'!E46*'Risk factor allocation'!E46</f>
        <v>0</v>
      </c>
      <c r="F46" s="14">
        <f>'Estimate summary'!F46*'Risk factor allocation'!F46</f>
        <v>0</v>
      </c>
      <c r="G46" s="14">
        <f>'Estimate summary'!G46*'Risk factor allocation'!G46</f>
        <v>0</v>
      </c>
      <c r="H46" s="14">
        <f ca="1">'Estimate summary'!H46*'Risk factor allocation'!H46</f>
        <v>77081.249415109109</v>
      </c>
      <c r="I46" s="14">
        <f>'Estimate summary'!I46*'Risk factor allocation'!I46</f>
        <v>0</v>
      </c>
      <c r="J46" s="14">
        <f>'Estimate summary'!J46*'Risk factor allocation'!J46</f>
        <v>0</v>
      </c>
      <c r="K46" s="12">
        <f t="shared" ca="1" si="4"/>
        <v>87061.643225192092</v>
      </c>
      <c r="L46" s="5"/>
    </row>
    <row r="47" spans="1:12" x14ac:dyDescent="0.25">
      <c r="A47" s="3"/>
      <c r="B47" s="6" t="s">
        <v>314</v>
      </c>
      <c r="C47" s="14">
        <f>'Estimate summary'!C47*'Risk factor allocation'!C47</f>
        <v>0</v>
      </c>
      <c r="D47" s="14">
        <f ca="1">'Estimate summary'!D47*'Risk factor allocation'!D47</f>
        <v>20657.605899947528</v>
      </c>
      <c r="E47" s="14">
        <f>'Estimate summary'!E47*'Risk factor allocation'!E47</f>
        <v>0</v>
      </c>
      <c r="F47" s="14">
        <f>'Estimate summary'!F47*'Risk factor allocation'!F47</f>
        <v>0</v>
      </c>
      <c r="G47" s="14">
        <f>'Estimate summary'!G47*'Risk factor allocation'!G47</f>
        <v>0</v>
      </c>
      <c r="H47" s="14">
        <f ca="1">'Estimate summary'!H47*'Risk factor allocation'!H47</f>
        <v>92266.190317965084</v>
      </c>
      <c r="I47" s="14">
        <f>'Estimate summary'!I47*'Risk factor allocation'!I47</f>
        <v>0</v>
      </c>
      <c r="J47" s="14">
        <f>'Estimate summary'!J47*'Risk factor allocation'!J47</f>
        <v>0</v>
      </c>
      <c r="K47" s="12">
        <f t="shared" ca="1" si="4"/>
        <v>112923.7962179126</v>
      </c>
      <c r="L47" s="5"/>
    </row>
    <row r="48" spans="1:12" x14ac:dyDescent="0.25">
      <c r="A48" s="3"/>
      <c r="B48" s="6" t="s">
        <v>324</v>
      </c>
      <c r="C48" s="14">
        <f>'Estimate summary'!C48*'Risk factor allocation'!C48</f>
        <v>0</v>
      </c>
      <c r="D48" s="14">
        <f ca="1">'Estimate summary'!D48*'Risk factor allocation'!D48</f>
        <v>22208.926363220235</v>
      </c>
      <c r="E48" s="14">
        <f ca="1">'Estimate summary'!E48*'Risk factor allocation'!E48</f>
        <v>283.50189065304289</v>
      </c>
      <c r="F48" s="14">
        <f ca="1">'Estimate summary'!F48*'Risk factor allocation'!F48</f>
        <v>9731.280921191079</v>
      </c>
      <c r="G48" s="14">
        <f ca="1">'Estimate summary'!G48*'Risk factor allocation'!G48</f>
        <v>18864.266905493805</v>
      </c>
      <c r="H48" s="14">
        <f ca="1">'Estimate summary'!H48*'Risk factor allocation'!H48</f>
        <v>2420.8905298252562</v>
      </c>
      <c r="I48" s="14">
        <f>'Estimate summary'!I48*'Risk factor allocation'!I48</f>
        <v>0</v>
      </c>
      <c r="J48" s="14">
        <f>'Estimate summary'!J48*'Risk factor allocation'!J48</f>
        <v>0</v>
      </c>
      <c r="K48" s="12">
        <f t="shared" ca="1" si="4"/>
        <v>53508.866610383418</v>
      </c>
      <c r="L48" s="5"/>
    </row>
    <row r="49" spans="1:12" x14ac:dyDescent="0.25">
      <c r="A49" s="3"/>
      <c r="B49" s="6" t="s">
        <v>251</v>
      </c>
      <c r="C49" s="14">
        <f>'Estimate summary'!C49*'Risk factor allocation'!C49</f>
        <v>0</v>
      </c>
      <c r="D49" s="14">
        <f ca="1">'Estimate summary'!D49*'Risk factor allocation'!D49</f>
        <v>116471.93457288707</v>
      </c>
      <c r="E49" s="14">
        <f ca="1">'Estimate summary'!E49*'Risk factor allocation'!E49</f>
        <v>2351.6536140376929</v>
      </c>
      <c r="F49" s="14">
        <f ca="1">'Estimate summary'!F49*'Risk factor allocation'!F49</f>
        <v>41771.674655492308</v>
      </c>
      <c r="G49" s="14">
        <f ca="1">'Estimate summary'!G49*'Risk factor allocation'!G49</f>
        <v>32608.714363847575</v>
      </c>
      <c r="H49" s="14">
        <f ca="1">'Estimate summary'!H49*'Risk factor allocation'!H49</f>
        <v>14489.129895896687</v>
      </c>
      <c r="I49" s="14">
        <f>'Estimate summary'!I49*'Risk factor allocation'!I49</f>
        <v>0</v>
      </c>
      <c r="J49" s="14">
        <f>'Estimate summary'!J49*'Risk factor allocation'!J49</f>
        <v>0</v>
      </c>
      <c r="K49" s="12">
        <f t="shared" ca="1" si="4"/>
        <v>207693.10710216133</v>
      </c>
      <c r="L49" s="5"/>
    </row>
    <row r="50" spans="1:12" x14ac:dyDescent="0.25">
      <c r="A50" s="3"/>
      <c r="B50" s="7" t="s">
        <v>380</v>
      </c>
      <c r="C50" s="17"/>
      <c r="D50" s="17"/>
      <c r="E50" s="17"/>
      <c r="F50" s="17"/>
      <c r="G50" s="17"/>
      <c r="H50" s="17"/>
      <c r="I50" s="17"/>
      <c r="J50" s="17"/>
      <c r="K50" s="17"/>
      <c r="L50" s="5"/>
    </row>
    <row r="51" spans="1:12" x14ac:dyDescent="0.25">
      <c r="A51" s="3"/>
      <c r="B51" s="6" t="s">
        <v>381</v>
      </c>
      <c r="C51" s="14">
        <f>'Estimate summary'!C51*'Risk factor allocation'!C51</f>
        <v>0</v>
      </c>
      <c r="D51" s="14">
        <f ca="1">'Estimate summary'!D51*'Risk factor allocation'!D51</f>
        <v>2017.4122616550878</v>
      </c>
      <c r="E51" s="14">
        <f ca="1">'Estimate summary'!E51*'Risk factor allocation'!E51</f>
        <v>741.88425791581722</v>
      </c>
      <c r="F51" s="14">
        <f>'Estimate summary'!F51*'Risk factor allocation'!F51</f>
        <v>0</v>
      </c>
      <c r="G51" s="14">
        <f>'Estimate summary'!G51*'Risk factor allocation'!G51</f>
        <v>0</v>
      </c>
      <c r="H51" s="14">
        <f ca="1">'Estimate summary'!H51*'Risk factor allocation'!H51</f>
        <v>137242.57980784791</v>
      </c>
      <c r="I51" s="14">
        <f>'Estimate summary'!I51*'Risk factor allocation'!I51</f>
        <v>0</v>
      </c>
      <c r="J51" s="14">
        <f>'Estimate summary'!J51*'Risk factor allocation'!J51</f>
        <v>0</v>
      </c>
      <c r="K51" s="12">
        <f t="shared" ref="K51:K58" ca="1" si="5">SUM(C51:J51)</f>
        <v>140001.87632741881</v>
      </c>
      <c r="L51" s="5"/>
    </row>
    <row r="52" spans="1:12" x14ac:dyDescent="0.25">
      <c r="A52" s="3"/>
      <c r="B52" s="6" t="s">
        <v>366</v>
      </c>
      <c r="C52" s="14">
        <f>'Estimate summary'!C52*'Risk factor allocation'!C52</f>
        <v>0</v>
      </c>
      <c r="D52" s="14">
        <f ca="1">'Estimate summary'!D52*'Risk factor allocation'!D52</f>
        <v>1715.9598547411092</v>
      </c>
      <c r="E52" s="14">
        <f>'Estimate summary'!E52*'Risk factor allocation'!E52</f>
        <v>0</v>
      </c>
      <c r="F52" s="14">
        <f>'Estimate summary'!F52*'Risk factor allocation'!F52</f>
        <v>0</v>
      </c>
      <c r="G52" s="14">
        <f>'Estimate summary'!G52*'Risk factor allocation'!G52</f>
        <v>0</v>
      </c>
      <c r="H52" s="14">
        <f ca="1">'Estimate summary'!H52*'Risk factor allocation'!H52</f>
        <v>32745.674877778609</v>
      </c>
      <c r="I52" s="14">
        <f>'Estimate summary'!I52*'Risk factor allocation'!I52</f>
        <v>0</v>
      </c>
      <c r="J52" s="14">
        <f>'Estimate summary'!J52*'Risk factor allocation'!J52</f>
        <v>0</v>
      </c>
      <c r="K52" s="12">
        <f t="shared" ca="1" si="5"/>
        <v>34461.63473251972</v>
      </c>
      <c r="L52" s="5"/>
    </row>
    <row r="53" spans="1:12" x14ac:dyDescent="0.25">
      <c r="A53" s="3"/>
      <c r="B53" s="6" t="s">
        <v>388</v>
      </c>
      <c r="C53" s="14">
        <f>'Estimate summary'!C53*'Risk factor allocation'!C53</f>
        <v>0</v>
      </c>
      <c r="D53" s="14">
        <f ca="1">'Estimate summary'!D53*'Risk factor allocation'!D53</f>
        <v>50201.101209851717</v>
      </c>
      <c r="E53" s="14">
        <f ca="1">'Estimate summary'!E53*'Risk factor allocation'!E53</f>
        <v>2835.0189065304289</v>
      </c>
      <c r="F53" s="14">
        <f ca="1">'Estimate summary'!F53*'Risk factor allocation'!F53</f>
        <v>9513.1983871433695</v>
      </c>
      <c r="G53" s="14">
        <f ca="1">'Estimate summary'!G53*'Risk factor allocation'!G53</f>
        <v>24721.618204356721</v>
      </c>
      <c r="H53" s="14">
        <f ca="1">'Estimate summary'!H53*'Risk factor allocation'!H53</f>
        <v>19501.734099958714</v>
      </c>
      <c r="I53" s="14">
        <f>'Estimate summary'!I53*'Risk factor allocation'!I53</f>
        <v>0</v>
      </c>
      <c r="J53" s="14">
        <f>'Estimate summary'!J53*'Risk factor allocation'!J53</f>
        <v>0</v>
      </c>
      <c r="K53" s="12">
        <f t="shared" ca="1" si="5"/>
        <v>106772.67080784096</v>
      </c>
      <c r="L53" s="5"/>
    </row>
    <row r="54" spans="1:12" x14ac:dyDescent="0.25">
      <c r="A54" s="3"/>
      <c r="B54" s="6" t="s">
        <v>395</v>
      </c>
      <c r="C54" s="14">
        <f>'Estimate summary'!C54*'Risk factor allocation'!C54</f>
        <v>0</v>
      </c>
      <c r="D54" s="14">
        <f ca="1">'Estimate summary'!D54*'Risk factor allocation'!D54</f>
        <v>2796.5018408345127</v>
      </c>
      <c r="E54" s="14">
        <f>'Estimate summary'!E54*'Risk factor allocation'!E54</f>
        <v>0</v>
      </c>
      <c r="F54" s="14">
        <f>'Estimate summary'!F54*'Risk factor allocation'!F54</f>
        <v>0</v>
      </c>
      <c r="G54" s="14">
        <f>'Estimate summary'!G54*'Risk factor allocation'!G54</f>
        <v>0</v>
      </c>
      <c r="H54" s="14">
        <f ca="1">'Estimate summary'!H54*'Risk factor allocation'!H54</f>
        <v>25187.677497915425</v>
      </c>
      <c r="I54" s="14">
        <f>'Estimate summary'!I54*'Risk factor allocation'!I54</f>
        <v>0</v>
      </c>
      <c r="J54" s="14">
        <f>'Estimate summary'!J54*'Risk factor allocation'!J54</f>
        <v>0</v>
      </c>
      <c r="K54" s="12">
        <f t="shared" ca="1" si="5"/>
        <v>27984.179338749938</v>
      </c>
      <c r="L54" s="5"/>
    </row>
    <row r="55" spans="1:12" x14ac:dyDescent="0.25">
      <c r="A55" s="3"/>
      <c r="B55" s="6" t="s">
        <v>379</v>
      </c>
      <c r="C55" s="14">
        <f>'Estimate summary'!C55*'Risk factor allocation'!C55</f>
        <v>0</v>
      </c>
      <c r="D55" s="14">
        <f ca="1">'Estimate summary'!D55*'Risk factor allocation'!D55</f>
        <v>1378.6908185207878</v>
      </c>
      <c r="E55" s="14">
        <f>'Estimate summary'!E55*'Risk factor allocation'!E55</f>
        <v>0</v>
      </c>
      <c r="F55" s="14">
        <f>'Estimate summary'!F55*'Risk factor allocation'!F55</f>
        <v>0</v>
      </c>
      <c r="G55" s="14">
        <f>'Estimate summary'!G55*'Risk factor allocation'!G55</f>
        <v>0</v>
      </c>
      <c r="H55" s="14">
        <f ca="1">'Estimate summary'!H55*'Risk factor allocation'!H55</f>
        <v>10552.834553197283</v>
      </c>
      <c r="I55" s="14">
        <f>'Estimate summary'!I55*'Risk factor allocation'!I55</f>
        <v>0</v>
      </c>
      <c r="J55" s="14">
        <f>'Estimate summary'!J55*'Risk factor allocation'!J55</f>
        <v>0</v>
      </c>
      <c r="K55" s="12">
        <f t="shared" ca="1" si="5"/>
        <v>11931.525371718071</v>
      </c>
      <c r="L55" s="5"/>
    </row>
    <row r="56" spans="1:12" x14ac:dyDescent="0.25">
      <c r="A56" s="3"/>
      <c r="B56" s="6" t="s">
        <v>314</v>
      </c>
      <c r="C56" s="14">
        <f>'Estimate summary'!C56*'Risk factor allocation'!C56</f>
        <v>0</v>
      </c>
      <c r="D56" s="14">
        <f ca="1">'Estimate summary'!D56*'Risk factor allocation'!D56</f>
        <v>2340.8938829204726</v>
      </c>
      <c r="E56" s="14">
        <f>'Estimate summary'!E56*'Risk factor allocation'!E56</f>
        <v>0</v>
      </c>
      <c r="F56" s="14">
        <f>'Estimate summary'!F56*'Risk factor allocation'!F56</f>
        <v>0</v>
      </c>
      <c r="G56" s="14">
        <f>'Estimate summary'!G56*'Risk factor allocation'!G56</f>
        <v>0</v>
      </c>
      <c r="H56" s="14">
        <f ca="1">'Estimate summary'!H56*'Risk factor allocation'!H56</f>
        <v>9228.6016576614511</v>
      </c>
      <c r="I56" s="14">
        <f>'Estimate summary'!I56*'Risk factor allocation'!I56</f>
        <v>0</v>
      </c>
      <c r="J56" s="14">
        <f>'Estimate summary'!J56*'Risk factor allocation'!J56</f>
        <v>0</v>
      </c>
      <c r="K56" s="12">
        <f t="shared" ca="1" si="5"/>
        <v>11569.495540581924</v>
      </c>
      <c r="L56" s="5"/>
    </row>
    <row r="57" spans="1:12" x14ac:dyDescent="0.25">
      <c r="A57" s="3"/>
      <c r="B57" s="6" t="s">
        <v>397</v>
      </c>
      <c r="C57" s="14">
        <f>'Estimate summary'!C57*'Risk factor allocation'!C57</f>
        <v>0</v>
      </c>
      <c r="D57" s="14">
        <f ca="1">'Estimate summary'!D57*'Risk factor allocation'!D57</f>
        <v>32603.237240081075</v>
      </c>
      <c r="E57" s="14">
        <f ca="1">'Estimate summary'!E57*'Risk factor allocation'!E57</f>
        <v>625.65934488947391</v>
      </c>
      <c r="F57" s="14">
        <f ca="1">'Estimate summary'!F57*'Risk factor allocation'!F57</f>
        <v>22763.016651917584</v>
      </c>
      <c r="G57" s="14">
        <f ca="1">'Estimate summary'!G57*'Risk factor allocation'!G57</f>
        <v>34272.757835394084</v>
      </c>
      <c r="H57" s="14">
        <f ca="1">'Estimate summary'!H57*'Risk factor allocation'!H57</f>
        <v>2950.9820768732002</v>
      </c>
      <c r="I57" s="14">
        <f>'Estimate summary'!I57*'Risk factor allocation'!I57</f>
        <v>0</v>
      </c>
      <c r="J57" s="14">
        <f>'Estimate summary'!J57*'Risk factor allocation'!J57</f>
        <v>0</v>
      </c>
      <c r="K57" s="12">
        <f t="shared" ca="1" si="5"/>
        <v>93215.65314915542</v>
      </c>
      <c r="L57" s="5"/>
    </row>
    <row r="58" spans="1:12" x14ac:dyDescent="0.25">
      <c r="A58" s="3"/>
      <c r="B58" s="6" t="s">
        <v>398</v>
      </c>
      <c r="C58" s="14">
        <f>'Estimate summary'!C58*'Risk factor allocation'!C58</f>
        <v>0</v>
      </c>
      <c r="D58" s="14">
        <f ca="1">'Estimate summary'!D58*'Risk factor allocation'!D58</f>
        <v>37938.944842458492</v>
      </c>
      <c r="E58" s="14">
        <f ca="1">'Estimate summary'!E58*'Risk factor allocation'!E58</f>
        <v>4020.0785337429566</v>
      </c>
      <c r="F58" s="14">
        <f ca="1">'Estimate summary'!F58*'Risk factor allocation'!F58</f>
        <v>25084.708700990086</v>
      </c>
      <c r="G58" s="14">
        <f ca="1">'Estimate summary'!G58*'Risk factor allocation'!G58</f>
        <v>21697.94191474489</v>
      </c>
      <c r="H58" s="14">
        <f ca="1">'Estimate summary'!H58*'Risk factor allocation'!H58</f>
        <v>12941.329461591737</v>
      </c>
      <c r="I58" s="14">
        <f>'Estimate summary'!I58*'Risk factor allocation'!I58</f>
        <v>0</v>
      </c>
      <c r="J58" s="14">
        <f>'Estimate summary'!J58*'Risk factor allocation'!J58</f>
        <v>0</v>
      </c>
      <c r="K58" s="12">
        <f t="shared" ca="1" si="5"/>
        <v>101683.00345352816</v>
      </c>
      <c r="L58" s="5"/>
    </row>
    <row r="59" spans="1:12" x14ac:dyDescent="0.25">
      <c r="A59" s="3"/>
      <c r="C59" s="5"/>
      <c r="D59" s="5"/>
      <c r="E59" s="5"/>
      <c r="F59" s="5"/>
      <c r="G59" s="5"/>
      <c r="H59" s="5"/>
      <c r="I59" s="5"/>
      <c r="J59" s="5"/>
      <c r="K59" s="5"/>
    </row>
    <row r="60" spans="1:12" x14ac:dyDescent="0.25">
      <c r="A60" s="3"/>
      <c r="B60" s="1" t="s">
        <v>487</v>
      </c>
      <c r="C60" s="5"/>
      <c r="D60" s="5"/>
      <c r="E60" s="5"/>
      <c r="F60" s="5"/>
      <c r="G60" s="5"/>
      <c r="H60" s="5"/>
      <c r="I60" s="5"/>
      <c r="J60" s="5"/>
      <c r="K60" s="5">
        <f ca="1">'Risk factors'!E26*1000000</f>
        <v>0</v>
      </c>
    </row>
    <row r="61" spans="1:12" x14ac:dyDescent="0.25">
      <c r="C61" s="5"/>
      <c r="D61" s="5"/>
      <c r="E61" s="5"/>
      <c r="F61" s="5"/>
      <c r="G61" s="5"/>
      <c r="H61" s="5"/>
      <c r="I61" s="5"/>
      <c r="J61" s="5"/>
      <c r="K61" s="5"/>
    </row>
    <row r="62" spans="1:12" ht="13.8" thickBot="1" x14ac:dyDescent="0.3">
      <c r="B62" t="s">
        <v>456</v>
      </c>
      <c r="C62" s="10">
        <f t="shared" ref="C62:J62" ca="1" si="6">SUBTOTAL(9,C3:C58)</f>
        <v>9797168.0810050257</v>
      </c>
      <c r="D62" s="10">
        <f t="shared" ca="1" si="6"/>
        <v>12850773.709180461</v>
      </c>
      <c r="E62" s="10">
        <f t="shared" ca="1" si="6"/>
        <v>5733531.3494720273</v>
      </c>
      <c r="F62" s="10">
        <f t="shared" ca="1" si="6"/>
        <v>5207061.225499534</v>
      </c>
      <c r="G62" s="10">
        <f t="shared" ca="1" si="6"/>
        <v>5088301.0378887784</v>
      </c>
      <c r="H62" s="10">
        <f t="shared" ca="1" si="6"/>
        <v>7205456.4947193731</v>
      </c>
      <c r="I62" s="10">
        <f t="shared" ca="1" si="6"/>
        <v>6917930.7918125279</v>
      </c>
      <c r="J62" s="10">
        <f t="shared" ca="1" si="6"/>
        <v>9112492.690576354</v>
      </c>
      <c r="K62" s="11">
        <f ca="1">_xll.RiskOutput("Total")+SUBTOTAL(9,K3:K60)</f>
        <v>61652319.646820746</v>
      </c>
    </row>
    <row r="63" spans="1:12" ht="13.8" thickTop="1" x14ac:dyDescent="0.25"/>
  </sheetData>
  <mergeCells count="1">
    <mergeCell ref="F1:H1"/>
  </mergeCells>
  <conditionalFormatting sqref="K62">
    <cfRule type="expression" dxfId="16" priority="4" stopIfTrue="1">
      <formula>RiskIsOutput</formula>
    </cfRule>
  </conditionalFormatting>
  <conditionalFormatting sqref="B62">
    <cfRule type="expression" dxfId="15" priority="2" stopIfTrue="1">
      <formula>IF(RiskSelectedNameCell1=CELL("address",$B$62),TRUE)</formula>
    </cfRule>
  </conditionalFormatting>
  <conditionalFormatting sqref="K2">
    <cfRule type="expression" dxfId="14" priority="3" stopIfTrue="1">
      <formula>IF(RiskSelectedNameCell2=CELL("address",$K$2),TRUE)</formula>
    </cfRule>
  </conditionalFormatting>
  <pageMargins left="0.75" right="0.75" top="1" bottom="1" header="0.5" footer="0.5"/>
  <pageSetup paperSize="9" scale="62" orientation="portrait" r:id="rId1"/>
  <headerFooter alignWithMargins="0">
    <oddFooter>&amp;LBroadleaf Capital International Pty Ltd 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B31" sqref="B31"/>
    </sheetView>
  </sheetViews>
  <sheetFormatPr defaultRowHeight="13.2" x14ac:dyDescent="0.25"/>
  <cols>
    <col min="1" max="1" width="30.88671875" bestFit="1" customWidth="1"/>
    <col min="2" max="5" width="10.77734375" customWidth="1"/>
    <col min="7" max="7" width="13.33203125" bestFit="1" customWidth="1"/>
    <col min="9" max="9" width="18.44140625" bestFit="1" customWidth="1"/>
  </cols>
  <sheetData>
    <row r="1" spans="1:14" x14ac:dyDescent="0.25">
      <c r="B1" s="79" t="s">
        <v>459</v>
      </c>
      <c r="C1" s="79"/>
      <c r="D1" s="79"/>
      <c r="E1" s="79"/>
    </row>
    <row r="2" spans="1:14" x14ac:dyDescent="0.25">
      <c r="A2" s="19" t="s">
        <v>460</v>
      </c>
      <c r="B2" s="13" t="s">
        <v>461</v>
      </c>
      <c r="C2" s="13" t="s">
        <v>462</v>
      </c>
      <c r="D2" s="13" t="s">
        <v>463</v>
      </c>
      <c r="E2" s="13" t="s">
        <v>464</v>
      </c>
      <c r="F2" s="13" t="s">
        <v>465</v>
      </c>
      <c r="G2" s="19" t="s">
        <v>466</v>
      </c>
    </row>
    <row r="3" spans="1:14" x14ac:dyDescent="0.25">
      <c r="A3" t="s">
        <v>15</v>
      </c>
      <c r="B3" s="21">
        <v>0</v>
      </c>
      <c r="C3" s="21">
        <v>0</v>
      </c>
      <c r="D3" s="21">
        <v>0.2</v>
      </c>
      <c r="E3" s="22">
        <f ca="1">_xll.RiskTrigen(B3,C3,D3,10,90,_xll.RiskName(A3))</f>
        <v>8.888888888888824E-2</v>
      </c>
      <c r="F3" s="20">
        <f ca="1">1+E3</f>
        <v>1.0888888888888881</v>
      </c>
      <c r="G3" t="s">
        <v>15</v>
      </c>
    </row>
    <row r="4" spans="1:14" x14ac:dyDescent="0.25">
      <c r="A4" t="s">
        <v>467</v>
      </c>
      <c r="B4" s="21">
        <v>-0.05</v>
      </c>
      <c r="C4" s="21">
        <v>0</v>
      </c>
      <c r="D4" s="21">
        <v>0.15</v>
      </c>
      <c r="E4" s="22">
        <f ca="1">_xll.RiskTrigen(B4,C4,D4,10,90,_xll.RiskName(A4))</f>
        <v>4.3150784877336319E-2</v>
      </c>
      <c r="F4" s="20">
        <f t="shared" ref="F4:F22" ca="1" si="0">1+E4</f>
        <v>1.0431507848773363</v>
      </c>
      <c r="G4" t="s">
        <v>468</v>
      </c>
    </row>
    <row r="5" spans="1:14" x14ac:dyDescent="0.25">
      <c r="A5" t="s">
        <v>469</v>
      </c>
      <c r="B5" s="73"/>
      <c r="C5" s="73"/>
      <c r="D5" s="73"/>
      <c r="E5" s="74"/>
      <c r="F5" s="20">
        <f ca="1">Schedule_Entire_Plan</f>
        <v>1.144212217597566</v>
      </c>
      <c r="G5" t="s">
        <v>469</v>
      </c>
    </row>
    <row r="6" spans="1:14" x14ac:dyDescent="0.25">
      <c r="A6" t="s">
        <v>521</v>
      </c>
      <c r="B6" s="21">
        <v>-0.1</v>
      </c>
      <c r="C6" s="21">
        <v>0</v>
      </c>
      <c r="D6" s="21">
        <v>0.2</v>
      </c>
      <c r="E6" s="22">
        <f ca="1">_xll.RiskTrigen(B6,C6,D6,10,90,_xll.RiskName(A6))</f>
        <v>4.302452000799304E-2</v>
      </c>
      <c r="F6" s="20">
        <f t="shared" ref="F6" ca="1" si="1">1+E6</f>
        <v>1.0430245200079931</v>
      </c>
      <c r="G6" t="s">
        <v>522</v>
      </c>
    </row>
    <row r="7" spans="1:14" x14ac:dyDescent="0.25">
      <c r="A7" t="s">
        <v>524</v>
      </c>
      <c r="B7" s="21">
        <v>0</v>
      </c>
      <c r="C7" s="21">
        <v>0</v>
      </c>
      <c r="D7" s="21">
        <v>0.25</v>
      </c>
      <c r="E7" s="22">
        <f ca="1">_xll.RiskTrigen(B7,C7,D7,10,90,_xll.RiskName(A7))</f>
        <v>0.11111111111111029</v>
      </c>
      <c r="F7" s="20">
        <f t="shared" ref="F7" ca="1" si="2">1+E7</f>
        <v>1.1111111111111103</v>
      </c>
      <c r="G7" t="s">
        <v>523</v>
      </c>
    </row>
    <row r="8" spans="1:14" x14ac:dyDescent="0.25">
      <c r="A8" t="s">
        <v>505</v>
      </c>
      <c r="B8" s="21">
        <v>-0.05</v>
      </c>
      <c r="C8" s="21">
        <v>0</v>
      </c>
      <c r="D8" s="21">
        <v>0.15</v>
      </c>
      <c r="E8" s="22">
        <f ca="1">_xll.RiskTrigen(B8,C8,D8,10,90,_xll.RiskName(A8))</f>
        <v>4.3150784877336319E-2</v>
      </c>
      <c r="F8" s="20">
        <f t="shared" ca="1" si="0"/>
        <v>1.0431507848773363</v>
      </c>
      <c r="G8" t="s">
        <v>511</v>
      </c>
    </row>
    <row r="9" spans="1:14" x14ac:dyDescent="0.25">
      <c r="A9" t="s">
        <v>506</v>
      </c>
      <c r="B9" s="21">
        <v>-0.05</v>
      </c>
      <c r="C9" s="21">
        <v>0</v>
      </c>
      <c r="D9" s="21">
        <v>0.1</v>
      </c>
      <c r="E9" s="22">
        <f ca="1">_xll.RiskTrigen(B9,C9,D9,10,90,_xll.RiskName(A9))</f>
        <v>2.151226000399652E-2</v>
      </c>
      <c r="F9" s="20">
        <f t="shared" ca="1" si="0"/>
        <v>1.0215122600039965</v>
      </c>
      <c r="G9" t="s">
        <v>512</v>
      </c>
    </row>
    <row r="10" spans="1:14" x14ac:dyDescent="0.25">
      <c r="A10" t="s">
        <v>507</v>
      </c>
      <c r="B10" s="21">
        <v>-0.05</v>
      </c>
      <c r="C10" s="21">
        <v>0</v>
      </c>
      <c r="D10" s="21">
        <v>0.2</v>
      </c>
      <c r="E10" s="22">
        <f ca="1">_xll.RiskTrigen(B10,C10,D10,10,90,_xll.RiskName(A10))</f>
        <v>6.4894640701504885E-2</v>
      </c>
      <c r="F10" s="20">
        <f t="shared" ca="1" si="0"/>
        <v>1.064894640701505</v>
      </c>
      <c r="G10" t="s">
        <v>514</v>
      </c>
    </row>
    <row r="11" spans="1:14" x14ac:dyDescent="0.25">
      <c r="A11" t="s">
        <v>508</v>
      </c>
      <c r="B11" s="21">
        <v>-0.05</v>
      </c>
      <c r="C11" s="21">
        <v>0</v>
      </c>
      <c r="D11" s="21">
        <v>0.05</v>
      </c>
      <c r="E11" s="22">
        <f ca="1">_xll.RiskTrigen(B11,C11,D11,10,90,_xll.RiskName(A11))</f>
        <v>0</v>
      </c>
      <c r="F11" s="20">
        <f t="shared" ca="1" si="0"/>
        <v>1</v>
      </c>
      <c r="G11" t="s">
        <v>513</v>
      </c>
    </row>
    <row r="12" spans="1:14" x14ac:dyDescent="0.25">
      <c r="A12" t="s">
        <v>517</v>
      </c>
      <c r="B12" s="21">
        <v>0</v>
      </c>
      <c r="C12" s="21">
        <v>0</v>
      </c>
      <c r="D12" s="21">
        <v>0.1</v>
      </c>
      <c r="E12" s="22">
        <f ca="1">_xll.RiskTrigen(B12,C12,D12,10,90,_xll.RiskName(A12))</f>
        <v>4.444444444444412E-2</v>
      </c>
      <c r="F12" s="20">
        <f t="shared" ref="F12" ca="1" si="3">1+E12</f>
        <v>1.0444444444444441</v>
      </c>
      <c r="G12" t="s">
        <v>518</v>
      </c>
    </row>
    <row r="13" spans="1:14" x14ac:dyDescent="0.25">
      <c r="A13" t="s">
        <v>509</v>
      </c>
      <c r="B13" s="21">
        <v>-0.05</v>
      </c>
      <c r="C13" s="21">
        <v>0</v>
      </c>
      <c r="D13" s="21">
        <v>0.15</v>
      </c>
      <c r="E13" s="22">
        <f ca="1">_xll.RiskTrigen(B13,C13,D13,10,90,_xll.RiskName(A13))</f>
        <v>4.3150784877336319E-2</v>
      </c>
      <c r="F13" s="20">
        <f t="shared" ca="1" si="0"/>
        <v>1.0431507848773363</v>
      </c>
      <c r="G13" t="s">
        <v>515</v>
      </c>
    </row>
    <row r="14" spans="1:14" x14ac:dyDescent="0.25">
      <c r="A14" t="s">
        <v>510</v>
      </c>
      <c r="B14" s="21">
        <v>-0.05</v>
      </c>
      <c r="C14" s="21">
        <v>0</v>
      </c>
      <c r="D14" s="21">
        <v>0.1</v>
      </c>
      <c r="E14" s="22">
        <f ca="1">_xll.RiskTrigen(B14,C14,D14,10,90,_xll.RiskName(A14))</f>
        <v>2.151226000399652E-2</v>
      </c>
      <c r="F14" s="20">
        <f t="shared" ca="1" si="0"/>
        <v>1.0215122600039965</v>
      </c>
      <c r="G14" t="s">
        <v>516</v>
      </c>
      <c r="I14" s="23" t="s">
        <v>470</v>
      </c>
      <c r="J14" s="24" t="str">
        <f ca="1">"Concrete rate in "&amp;CELL("address",$E$15)</f>
        <v>Concrete rate in $E$15</v>
      </c>
      <c r="K14" s="24" t="str">
        <f ca="1">"Steel rate in "&amp;CELL("address",$E$16)</f>
        <v>Steel rate in $E$16</v>
      </c>
      <c r="L14" s="24" t="str">
        <f ca="1">"General bulks rate in "&amp;CELL("address",$E$17)</f>
        <v>General bulks rate in $E$17</v>
      </c>
      <c r="M14" s="24" t="str">
        <f ca="1">"Plant rate in "&amp;CELL("address",$E$18)</f>
        <v>Plant rate in $E$18</v>
      </c>
      <c r="N14" s="24" t="str">
        <f ca="1">"Subcontract rates in "&amp;CELL("address",$E$19)</f>
        <v>Subcontract rates in $E$19</v>
      </c>
    </row>
    <row r="15" spans="1:14" x14ac:dyDescent="0.25">
      <c r="A15" t="s">
        <v>471</v>
      </c>
      <c r="B15" s="21">
        <v>-0.1</v>
      </c>
      <c r="C15" s="21">
        <v>0</v>
      </c>
      <c r="D15" s="21">
        <v>0.15</v>
      </c>
      <c r="E15" s="22">
        <f ca="1">_xll.RiskTrigen(B15,C15,D15,10,90,_xll.RiskName(A15),_xll.RiskCorrmat(Market_rates,1))</f>
        <v>2.1482699290030938E-2</v>
      </c>
      <c r="F15" s="20">
        <f t="shared" ca="1" si="0"/>
        <v>1.021482699290031</v>
      </c>
      <c r="G15" t="s">
        <v>472</v>
      </c>
      <c r="I15" s="24" t="str">
        <f ca="1">"Concrete rate in "&amp;CELL("address",$E$15)</f>
        <v>Concrete rate in $E$15</v>
      </c>
      <c r="J15" s="25">
        <v>1</v>
      </c>
      <c r="K15" s="26"/>
      <c r="L15" s="26"/>
      <c r="M15" s="26"/>
      <c r="N15" s="26"/>
    </row>
    <row r="16" spans="1:14" x14ac:dyDescent="0.25">
      <c r="A16" t="s">
        <v>473</v>
      </c>
      <c r="B16" s="21">
        <v>-0.1</v>
      </c>
      <c r="C16" s="21">
        <v>0</v>
      </c>
      <c r="D16" s="21">
        <v>0.1</v>
      </c>
      <c r="E16" s="22">
        <f ca="1">_xll.RiskTrigen(B16,C16,D16,10,90,_xll.RiskName(A16),_xll.RiskCorrmat(Market_rates,2))</f>
        <v>0</v>
      </c>
      <c r="F16" s="20">
        <f t="shared" ca="1" si="0"/>
        <v>1</v>
      </c>
      <c r="G16" t="s">
        <v>474</v>
      </c>
      <c r="I16" s="24" t="str">
        <f ca="1">"Steel rate in "&amp;CELL("address",$E$16)</f>
        <v>Steel rate in $E$16</v>
      </c>
      <c r="J16" s="27">
        <v>1</v>
      </c>
      <c r="K16" s="28">
        <v>1</v>
      </c>
      <c r="L16" s="28"/>
      <c r="M16" s="28"/>
      <c r="N16" s="28"/>
    </row>
    <row r="17" spans="1:14" x14ac:dyDescent="0.25">
      <c r="A17" t="s">
        <v>475</v>
      </c>
      <c r="B17" s="21">
        <v>-0.05</v>
      </c>
      <c r="C17" s="21">
        <v>0</v>
      </c>
      <c r="D17" s="21">
        <v>0.1</v>
      </c>
      <c r="E17" s="22">
        <f ca="1">_xll.RiskTrigen(B17,C17,D17,10,90,_xll.RiskName(A17),_xll.RiskCorrmat(Market_rates,3))</f>
        <v>2.151226000399652E-2</v>
      </c>
      <c r="F17" s="20">
        <f t="shared" ca="1" si="0"/>
        <v>1.0215122600039965</v>
      </c>
      <c r="G17" t="s">
        <v>476</v>
      </c>
      <c r="I17" s="24" t="str">
        <f ca="1">"General bulks rate in "&amp;CELL("address",$E$17)</f>
        <v>General bulks rate in $E$17</v>
      </c>
      <c r="J17" s="27">
        <v>1</v>
      </c>
      <c r="K17" s="28">
        <v>1</v>
      </c>
      <c r="L17" s="28">
        <v>1</v>
      </c>
      <c r="M17" s="28"/>
      <c r="N17" s="28"/>
    </row>
    <row r="18" spans="1:14" x14ac:dyDescent="0.25">
      <c r="A18" t="s">
        <v>477</v>
      </c>
      <c r="B18" s="21">
        <v>-0.1</v>
      </c>
      <c r="C18" s="21">
        <v>0</v>
      </c>
      <c r="D18" s="21">
        <v>0.05</v>
      </c>
      <c r="E18" s="22">
        <f ca="1">_xll.RiskTrigen(B18,C18,D18,10,90,_xll.RiskName(A18),_xll.RiskCorrmat(Market_rates,4))</f>
        <v>-2.1512260003996541E-2</v>
      </c>
      <c r="F18" s="20">
        <f ca="1">1+E18</f>
        <v>0.97848773999600347</v>
      </c>
      <c r="G18" t="s">
        <v>478</v>
      </c>
      <c r="I18" s="24" t="str">
        <f ca="1">"Plant rate in "&amp;CELL("address",$E$18)</f>
        <v>Plant rate in $E$18</v>
      </c>
      <c r="J18" s="27">
        <v>1</v>
      </c>
      <c r="K18" s="28">
        <v>1</v>
      </c>
      <c r="L18" s="28">
        <v>1</v>
      </c>
      <c r="M18" s="28">
        <v>1</v>
      </c>
      <c r="N18" s="28"/>
    </row>
    <row r="19" spans="1:14" x14ac:dyDescent="0.25">
      <c r="A19" t="s">
        <v>479</v>
      </c>
      <c r="B19" s="21">
        <v>-0.1</v>
      </c>
      <c r="C19" s="21">
        <v>0</v>
      </c>
      <c r="D19" s="21">
        <v>0.05</v>
      </c>
      <c r="E19" s="22">
        <f ca="1">_xll.RiskTrigen(B19,C19,D19,10,90,_xll.RiskName(A19),_xll.RiskCorrmat(Market_rates,5))</f>
        <v>-2.1512260003996541E-2</v>
      </c>
      <c r="F19" s="20">
        <f t="shared" ca="1" si="0"/>
        <v>0.97848773999600347</v>
      </c>
      <c r="G19" t="s">
        <v>480</v>
      </c>
      <c r="I19" s="24" t="str">
        <f ca="1">"Subcontract rates in "&amp;CELL("address",$E$19)</f>
        <v>Subcontract rates in $E$19</v>
      </c>
      <c r="J19" s="27">
        <v>1</v>
      </c>
      <c r="K19" s="28">
        <v>1</v>
      </c>
      <c r="L19" s="28">
        <v>1</v>
      </c>
      <c r="M19" s="28">
        <v>1</v>
      </c>
      <c r="N19" s="28">
        <v>1</v>
      </c>
    </row>
    <row r="20" spans="1:14" x14ac:dyDescent="0.25">
      <c r="A20" t="s">
        <v>481</v>
      </c>
      <c r="B20" s="21">
        <v>0</v>
      </c>
      <c r="C20" s="21">
        <v>0</v>
      </c>
      <c r="D20" s="21">
        <v>0.05</v>
      </c>
      <c r="E20" s="22">
        <f ca="1">_xll.RiskTrigen(B20,C20,D20,10,90,_xll.RiskName(A20))</f>
        <v>2.222222222222206E-2</v>
      </c>
      <c r="F20" s="20">
        <f t="shared" ca="1" si="0"/>
        <v>1.0222222222222221</v>
      </c>
      <c r="G20" t="s">
        <v>482</v>
      </c>
    </row>
    <row r="21" spans="1:14" x14ac:dyDescent="0.25">
      <c r="A21" t="s">
        <v>483</v>
      </c>
      <c r="B21" s="21">
        <v>0</v>
      </c>
      <c r="C21" s="21">
        <v>0</v>
      </c>
      <c r="D21" s="21">
        <v>0.1</v>
      </c>
      <c r="E21" s="22">
        <f ca="1">_xll.RiskTrigen(B21,C21,D21,10,90,_xll.RiskName(A21))</f>
        <v>4.444444444444412E-2</v>
      </c>
      <c r="F21" s="20">
        <f t="shared" ca="1" si="0"/>
        <v>1.0444444444444441</v>
      </c>
      <c r="G21" t="s">
        <v>484</v>
      </c>
    </row>
    <row r="22" spans="1:14" x14ac:dyDescent="0.25">
      <c r="A22" t="s">
        <v>485</v>
      </c>
      <c r="B22" s="21">
        <v>-0.05</v>
      </c>
      <c r="C22" s="21">
        <v>0</v>
      </c>
      <c r="D22" s="21">
        <v>0.25</v>
      </c>
      <c r="E22" s="22">
        <f ca="1">_xll.RiskTrigen(B22,C22,D22,10,90,_xll.RiskName(A22))</f>
        <v>8.6717048447781789E-2</v>
      </c>
      <c r="F22" s="20">
        <f t="shared" ca="1" si="0"/>
        <v>1.0867170484477817</v>
      </c>
      <c r="G22" t="s">
        <v>485</v>
      </c>
    </row>
    <row r="25" spans="1:14" x14ac:dyDescent="0.25">
      <c r="A25" s="1" t="s">
        <v>486</v>
      </c>
    </row>
    <row r="26" spans="1:14" x14ac:dyDescent="0.25">
      <c r="A26" t="s">
        <v>487</v>
      </c>
      <c r="D26" s="29" t="s">
        <v>488</v>
      </c>
      <c r="E26" s="30">
        <f ca="1">E27*E28</f>
        <v>0</v>
      </c>
    </row>
    <row r="27" spans="1:14" x14ac:dyDescent="0.25">
      <c r="A27" s="29" t="s">
        <v>489</v>
      </c>
      <c r="B27" s="31">
        <v>0.5</v>
      </c>
      <c r="C27" s="31">
        <v>1.2</v>
      </c>
      <c r="D27" s="31">
        <v>2</v>
      </c>
      <c r="E27" s="32">
        <f ca="1">_xll.RiskTrigen(B27,C27,D27,10,90,_xll.RiskName(A27))</f>
        <v>1.2429370601342329</v>
      </c>
    </row>
    <row r="28" spans="1:14" x14ac:dyDescent="0.25">
      <c r="A28" s="29" t="s">
        <v>490</v>
      </c>
      <c r="B28" s="29" t="s">
        <v>491</v>
      </c>
      <c r="C28" s="21">
        <v>0.15</v>
      </c>
      <c r="E28" s="33">
        <f ca="1">_xll.RiskBinomial(1,C28)</f>
        <v>0</v>
      </c>
    </row>
  </sheetData>
  <mergeCells count="1">
    <mergeCell ref="B1:E1"/>
  </mergeCells>
  <conditionalFormatting sqref="E3:E22">
    <cfRule type="expression" dxfId="13" priority="3" stopIfTrue="1">
      <formula>RiskIsInput</formula>
    </cfRule>
  </conditionalFormatting>
  <conditionalFormatting sqref="E28">
    <cfRule type="expression" dxfId="12" priority="2" stopIfTrue="1">
      <formula>RiskIsInput</formula>
    </cfRule>
  </conditionalFormatting>
  <conditionalFormatting sqref="E27">
    <cfRule type="expression" dxfId="11" priority="1" stopIfTrue="1">
      <formula>RiskIsInput</formula>
    </cfRule>
  </conditionalFormatting>
  <pageMargins left="0.75" right="0.75" top="1" bottom="1" header="0.5" footer="0.5"/>
  <pageSetup paperSize="9" scale="62" orientation="portrait" r:id="rId1"/>
  <headerFooter alignWithMargins="0">
    <oddFooter>&amp;LBroadleaf Capital International Pty Ltd 2016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3.2" x14ac:dyDescent="0.25"/>
  <sheetData>
    <row r="1" spans="1:6" x14ac:dyDescent="0.25">
      <c r="A1">
        <v>0</v>
      </c>
      <c r="B1">
        <v>0</v>
      </c>
    </row>
    <row r="2" spans="1:6" x14ac:dyDescent="0.25">
      <c r="A2">
        <v>0</v>
      </c>
    </row>
    <row r="3" spans="1:6" x14ac:dyDescent="0.25">
      <c r="A3">
        <v>0</v>
      </c>
    </row>
    <row r="4" spans="1:6" x14ac:dyDescent="0.25">
      <c r="A4" t="b">
        <v>0</v>
      </c>
      <c r="B4">
        <v>15680</v>
      </c>
      <c r="C4">
        <v>7345</v>
      </c>
      <c r="D4">
        <v>26560</v>
      </c>
      <c r="E4">
        <v>100</v>
      </c>
    </row>
    <row r="5" spans="1:6" x14ac:dyDescent="0.25">
      <c r="A5" t="b">
        <v>0</v>
      </c>
      <c r="B5">
        <v>15680</v>
      </c>
      <c r="C5">
        <v>7345</v>
      </c>
      <c r="D5">
        <v>26560</v>
      </c>
      <c r="E5">
        <v>500</v>
      </c>
    </row>
    <row r="6" spans="1:6" x14ac:dyDescent="0.25">
      <c r="A6" t="b">
        <v>0</v>
      </c>
      <c r="B6">
        <v>15680</v>
      </c>
      <c r="C6">
        <v>7345</v>
      </c>
      <c r="D6">
        <v>26560</v>
      </c>
      <c r="E6">
        <v>1000</v>
      </c>
    </row>
    <row r="7" spans="1:6" x14ac:dyDescent="0.25">
      <c r="A7" t="b">
        <v>0</v>
      </c>
      <c r="B7">
        <v>15680</v>
      </c>
      <c r="C7">
        <v>7345</v>
      </c>
      <c r="D7">
        <v>26560</v>
      </c>
      <c r="E7">
        <v>1500</v>
      </c>
    </row>
    <row r="8" spans="1:6" x14ac:dyDescent="0.25">
      <c r="A8" t="b">
        <v>0</v>
      </c>
      <c r="B8">
        <v>15680</v>
      </c>
      <c r="C8">
        <v>7345</v>
      </c>
      <c r="D8">
        <v>26560</v>
      </c>
      <c r="E8">
        <v>2000</v>
      </c>
    </row>
    <row r="9" spans="1:6" x14ac:dyDescent="0.25">
      <c r="A9">
        <v>0</v>
      </c>
    </row>
    <row r="10" spans="1:6" x14ac:dyDescent="0.25">
      <c r="A10">
        <v>0</v>
      </c>
      <c r="B10" t="b">
        <v>0</v>
      </c>
      <c r="C10" t="b">
        <v>0</v>
      </c>
      <c r="D10">
        <v>10</v>
      </c>
      <c r="E10">
        <v>0.95</v>
      </c>
      <c r="F10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opLeftCell="A6" zoomScaleNormal="100" workbookViewId="0">
      <selection activeCell="C31" sqref="C31"/>
    </sheetView>
  </sheetViews>
  <sheetFormatPr defaultRowHeight="13.2" x14ac:dyDescent="0.25"/>
  <cols>
    <col min="1" max="2" width="8.88671875" style="35" customWidth="1"/>
    <col min="3" max="3" width="14.21875" style="35" bestFit="1" customWidth="1"/>
    <col min="4" max="13" width="8.88671875" style="35"/>
    <col min="14" max="14" width="13.6640625" style="35" bestFit="1" customWidth="1"/>
    <col min="15" max="256" width="8.88671875" style="35"/>
    <col min="257" max="258" width="8.88671875" style="35" customWidth="1"/>
    <col min="259" max="259" width="12.6640625" style="35" bestFit="1" customWidth="1"/>
    <col min="260" max="512" width="8.88671875" style="35"/>
    <col min="513" max="514" width="8.88671875" style="35" customWidth="1"/>
    <col min="515" max="515" width="12.6640625" style="35" bestFit="1" customWidth="1"/>
    <col min="516" max="768" width="8.88671875" style="35"/>
    <col min="769" max="770" width="8.88671875" style="35" customWidth="1"/>
    <col min="771" max="771" width="12.6640625" style="35" bestFit="1" customWidth="1"/>
    <col min="772" max="1024" width="8.88671875" style="35"/>
    <col min="1025" max="1026" width="8.88671875" style="35" customWidth="1"/>
    <col min="1027" max="1027" width="12.6640625" style="35" bestFit="1" customWidth="1"/>
    <col min="1028" max="1280" width="8.88671875" style="35"/>
    <col min="1281" max="1282" width="8.88671875" style="35" customWidth="1"/>
    <col min="1283" max="1283" width="12.6640625" style="35" bestFit="1" customWidth="1"/>
    <col min="1284" max="1536" width="8.88671875" style="35"/>
    <col min="1537" max="1538" width="8.88671875" style="35" customWidth="1"/>
    <col min="1539" max="1539" width="12.6640625" style="35" bestFit="1" customWidth="1"/>
    <col min="1540" max="1792" width="8.88671875" style="35"/>
    <col min="1793" max="1794" width="8.88671875" style="35" customWidth="1"/>
    <col min="1795" max="1795" width="12.6640625" style="35" bestFit="1" customWidth="1"/>
    <col min="1796" max="2048" width="8.88671875" style="35"/>
    <col min="2049" max="2050" width="8.88671875" style="35" customWidth="1"/>
    <col min="2051" max="2051" width="12.6640625" style="35" bestFit="1" customWidth="1"/>
    <col min="2052" max="2304" width="8.88671875" style="35"/>
    <col min="2305" max="2306" width="8.88671875" style="35" customWidth="1"/>
    <col min="2307" max="2307" width="12.6640625" style="35" bestFit="1" customWidth="1"/>
    <col min="2308" max="2560" width="8.88671875" style="35"/>
    <col min="2561" max="2562" width="8.88671875" style="35" customWidth="1"/>
    <col min="2563" max="2563" width="12.6640625" style="35" bestFit="1" customWidth="1"/>
    <col min="2564" max="2816" width="8.88671875" style="35"/>
    <col min="2817" max="2818" width="8.88671875" style="35" customWidth="1"/>
    <col min="2819" max="2819" width="12.6640625" style="35" bestFit="1" customWidth="1"/>
    <col min="2820" max="3072" width="8.88671875" style="35"/>
    <col min="3073" max="3074" width="8.88671875" style="35" customWidth="1"/>
    <col min="3075" max="3075" width="12.6640625" style="35" bestFit="1" customWidth="1"/>
    <col min="3076" max="3328" width="8.88671875" style="35"/>
    <col min="3329" max="3330" width="8.88671875" style="35" customWidth="1"/>
    <col min="3331" max="3331" width="12.6640625" style="35" bestFit="1" customWidth="1"/>
    <col min="3332" max="3584" width="8.88671875" style="35"/>
    <col min="3585" max="3586" width="8.88671875" style="35" customWidth="1"/>
    <col min="3587" max="3587" width="12.6640625" style="35" bestFit="1" customWidth="1"/>
    <col min="3588" max="3840" width="8.88671875" style="35"/>
    <col min="3841" max="3842" width="8.88671875" style="35" customWidth="1"/>
    <col min="3843" max="3843" width="12.6640625" style="35" bestFit="1" customWidth="1"/>
    <col min="3844" max="4096" width="8.88671875" style="35"/>
    <col min="4097" max="4098" width="8.88671875" style="35" customWidth="1"/>
    <col min="4099" max="4099" width="12.6640625" style="35" bestFit="1" customWidth="1"/>
    <col min="4100" max="4352" width="8.88671875" style="35"/>
    <col min="4353" max="4354" width="8.88671875" style="35" customWidth="1"/>
    <col min="4355" max="4355" width="12.6640625" style="35" bestFit="1" customWidth="1"/>
    <col min="4356" max="4608" width="8.88671875" style="35"/>
    <col min="4609" max="4610" width="8.88671875" style="35" customWidth="1"/>
    <col min="4611" max="4611" width="12.6640625" style="35" bestFit="1" customWidth="1"/>
    <col min="4612" max="4864" width="8.88671875" style="35"/>
    <col min="4865" max="4866" width="8.88671875" style="35" customWidth="1"/>
    <col min="4867" max="4867" width="12.6640625" style="35" bestFit="1" customWidth="1"/>
    <col min="4868" max="5120" width="8.88671875" style="35"/>
    <col min="5121" max="5122" width="8.88671875" style="35" customWidth="1"/>
    <col min="5123" max="5123" width="12.6640625" style="35" bestFit="1" customWidth="1"/>
    <col min="5124" max="5376" width="8.88671875" style="35"/>
    <col min="5377" max="5378" width="8.88671875" style="35" customWidth="1"/>
    <col min="5379" max="5379" width="12.6640625" style="35" bestFit="1" customWidth="1"/>
    <col min="5380" max="5632" width="8.88671875" style="35"/>
    <col min="5633" max="5634" width="8.88671875" style="35" customWidth="1"/>
    <col min="5635" max="5635" width="12.6640625" style="35" bestFit="1" customWidth="1"/>
    <col min="5636" max="5888" width="8.88671875" style="35"/>
    <col min="5889" max="5890" width="8.88671875" style="35" customWidth="1"/>
    <col min="5891" max="5891" width="12.6640625" style="35" bestFit="1" customWidth="1"/>
    <col min="5892" max="6144" width="8.88671875" style="35"/>
    <col min="6145" max="6146" width="8.88671875" style="35" customWidth="1"/>
    <col min="6147" max="6147" width="12.6640625" style="35" bestFit="1" customWidth="1"/>
    <col min="6148" max="6400" width="8.88671875" style="35"/>
    <col min="6401" max="6402" width="8.88671875" style="35" customWidth="1"/>
    <col min="6403" max="6403" width="12.6640625" style="35" bestFit="1" customWidth="1"/>
    <col min="6404" max="6656" width="8.88671875" style="35"/>
    <col min="6657" max="6658" width="8.88671875" style="35" customWidth="1"/>
    <col min="6659" max="6659" width="12.6640625" style="35" bestFit="1" customWidth="1"/>
    <col min="6660" max="6912" width="8.88671875" style="35"/>
    <col min="6913" max="6914" width="8.88671875" style="35" customWidth="1"/>
    <col min="6915" max="6915" width="12.6640625" style="35" bestFit="1" customWidth="1"/>
    <col min="6916" max="7168" width="8.88671875" style="35"/>
    <col min="7169" max="7170" width="8.88671875" style="35" customWidth="1"/>
    <col min="7171" max="7171" width="12.6640625" style="35" bestFit="1" customWidth="1"/>
    <col min="7172" max="7424" width="8.88671875" style="35"/>
    <col min="7425" max="7426" width="8.88671875" style="35" customWidth="1"/>
    <col min="7427" max="7427" width="12.6640625" style="35" bestFit="1" customWidth="1"/>
    <col min="7428" max="7680" width="8.88671875" style="35"/>
    <col min="7681" max="7682" width="8.88671875" style="35" customWidth="1"/>
    <col min="7683" max="7683" width="12.6640625" style="35" bestFit="1" customWidth="1"/>
    <col min="7684" max="7936" width="8.88671875" style="35"/>
    <col min="7937" max="7938" width="8.88671875" style="35" customWidth="1"/>
    <col min="7939" max="7939" width="12.6640625" style="35" bestFit="1" customWidth="1"/>
    <col min="7940" max="8192" width="8.88671875" style="35"/>
    <col min="8193" max="8194" width="8.88671875" style="35" customWidth="1"/>
    <col min="8195" max="8195" width="12.6640625" style="35" bestFit="1" customWidth="1"/>
    <col min="8196" max="8448" width="8.88671875" style="35"/>
    <col min="8449" max="8450" width="8.88671875" style="35" customWidth="1"/>
    <col min="8451" max="8451" width="12.6640625" style="35" bestFit="1" customWidth="1"/>
    <col min="8452" max="8704" width="8.88671875" style="35"/>
    <col min="8705" max="8706" width="8.88671875" style="35" customWidth="1"/>
    <col min="8707" max="8707" width="12.6640625" style="35" bestFit="1" customWidth="1"/>
    <col min="8708" max="8960" width="8.88671875" style="35"/>
    <col min="8961" max="8962" width="8.88671875" style="35" customWidth="1"/>
    <col min="8963" max="8963" width="12.6640625" style="35" bestFit="1" customWidth="1"/>
    <col min="8964" max="9216" width="8.88671875" style="35"/>
    <col min="9217" max="9218" width="8.88671875" style="35" customWidth="1"/>
    <col min="9219" max="9219" width="12.6640625" style="35" bestFit="1" customWidth="1"/>
    <col min="9220" max="9472" width="8.88671875" style="35"/>
    <col min="9473" max="9474" width="8.88671875" style="35" customWidth="1"/>
    <col min="9475" max="9475" width="12.6640625" style="35" bestFit="1" customWidth="1"/>
    <col min="9476" max="9728" width="8.88671875" style="35"/>
    <col min="9729" max="9730" width="8.88671875" style="35" customWidth="1"/>
    <col min="9731" max="9731" width="12.6640625" style="35" bestFit="1" customWidth="1"/>
    <col min="9732" max="9984" width="8.88671875" style="35"/>
    <col min="9985" max="9986" width="8.88671875" style="35" customWidth="1"/>
    <col min="9987" max="9987" width="12.6640625" style="35" bestFit="1" customWidth="1"/>
    <col min="9988" max="10240" width="8.88671875" style="35"/>
    <col min="10241" max="10242" width="8.88671875" style="35" customWidth="1"/>
    <col min="10243" max="10243" width="12.6640625" style="35" bestFit="1" customWidth="1"/>
    <col min="10244" max="10496" width="8.88671875" style="35"/>
    <col min="10497" max="10498" width="8.88671875" style="35" customWidth="1"/>
    <col min="10499" max="10499" width="12.6640625" style="35" bestFit="1" customWidth="1"/>
    <col min="10500" max="10752" width="8.88671875" style="35"/>
    <col min="10753" max="10754" width="8.88671875" style="35" customWidth="1"/>
    <col min="10755" max="10755" width="12.6640625" style="35" bestFit="1" customWidth="1"/>
    <col min="10756" max="11008" width="8.88671875" style="35"/>
    <col min="11009" max="11010" width="8.88671875" style="35" customWidth="1"/>
    <col min="11011" max="11011" width="12.6640625" style="35" bestFit="1" customWidth="1"/>
    <col min="11012" max="11264" width="8.88671875" style="35"/>
    <col min="11265" max="11266" width="8.88671875" style="35" customWidth="1"/>
    <col min="11267" max="11267" width="12.6640625" style="35" bestFit="1" customWidth="1"/>
    <col min="11268" max="11520" width="8.88671875" style="35"/>
    <col min="11521" max="11522" width="8.88671875" style="35" customWidth="1"/>
    <col min="11523" max="11523" width="12.6640625" style="35" bestFit="1" customWidth="1"/>
    <col min="11524" max="11776" width="8.88671875" style="35"/>
    <col min="11777" max="11778" width="8.88671875" style="35" customWidth="1"/>
    <col min="11779" max="11779" width="12.6640625" style="35" bestFit="1" customWidth="1"/>
    <col min="11780" max="12032" width="8.88671875" style="35"/>
    <col min="12033" max="12034" width="8.88671875" style="35" customWidth="1"/>
    <col min="12035" max="12035" width="12.6640625" style="35" bestFit="1" customWidth="1"/>
    <col min="12036" max="12288" width="8.88671875" style="35"/>
    <col min="12289" max="12290" width="8.88671875" style="35" customWidth="1"/>
    <col min="12291" max="12291" width="12.6640625" style="35" bestFit="1" customWidth="1"/>
    <col min="12292" max="12544" width="8.88671875" style="35"/>
    <col min="12545" max="12546" width="8.88671875" style="35" customWidth="1"/>
    <col min="12547" max="12547" width="12.6640625" style="35" bestFit="1" customWidth="1"/>
    <col min="12548" max="12800" width="8.88671875" style="35"/>
    <col min="12801" max="12802" width="8.88671875" style="35" customWidth="1"/>
    <col min="12803" max="12803" width="12.6640625" style="35" bestFit="1" customWidth="1"/>
    <col min="12804" max="13056" width="8.88671875" style="35"/>
    <col min="13057" max="13058" width="8.88671875" style="35" customWidth="1"/>
    <col min="13059" max="13059" width="12.6640625" style="35" bestFit="1" customWidth="1"/>
    <col min="13060" max="13312" width="8.88671875" style="35"/>
    <col min="13313" max="13314" width="8.88671875" style="35" customWidth="1"/>
    <col min="13315" max="13315" width="12.6640625" style="35" bestFit="1" customWidth="1"/>
    <col min="13316" max="13568" width="8.88671875" style="35"/>
    <col min="13569" max="13570" width="8.88671875" style="35" customWidth="1"/>
    <col min="13571" max="13571" width="12.6640625" style="35" bestFit="1" customWidth="1"/>
    <col min="13572" max="13824" width="8.88671875" style="35"/>
    <col min="13825" max="13826" width="8.88671875" style="35" customWidth="1"/>
    <col min="13827" max="13827" width="12.6640625" style="35" bestFit="1" customWidth="1"/>
    <col min="13828" max="14080" width="8.88671875" style="35"/>
    <col min="14081" max="14082" width="8.88671875" style="35" customWidth="1"/>
    <col min="14083" max="14083" width="12.6640625" style="35" bestFit="1" customWidth="1"/>
    <col min="14084" max="14336" width="8.88671875" style="35"/>
    <col min="14337" max="14338" width="8.88671875" style="35" customWidth="1"/>
    <col min="14339" max="14339" width="12.6640625" style="35" bestFit="1" customWidth="1"/>
    <col min="14340" max="14592" width="8.88671875" style="35"/>
    <col min="14593" max="14594" width="8.88671875" style="35" customWidth="1"/>
    <col min="14595" max="14595" width="12.6640625" style="35" bestFit="1" customWidth="1"/>
    <col min="14596" max="14848" width="8.88671875" style="35"/>
    <col min="14849" max="14850" width="8.88671875" style="35" customWidth="1"/>
    <col min="14851" max="14851" width="12.6640625" style="35" bestFit="1" customWidth="1"/>
    <col min="14852" max="15104" width="8.88671875" style="35"/>
    <col min="15105" max="15106" width="8.88671875" style="35" customWidth="1"/>
    <col min="15107" max="15107" width="12.6640625" style="35" bestFit="1" customWidth="1"/>
    <col min="15108" max="15360" width="8.88671875" style="35"/>
    <col min="15361" max="15362" width="8.88671875" style="35" customWidth="1"/>
    <col min="15363" max="15363" width="12.6640625" style="35" bestFit="1" customWidth="1"/>
    <col min="15364" max="15616" width="8.88671875" style="35"/>
    <col min="15617" max="15618" width="8.88671875" style="35" customWidth="1"/>
    <col min="15619" max="15619" width="12.6640625" style="35" bestFit="1" customWidth="1"/>
    <col min="15620" max="15872" width="8.88671875" style="35"/>
    <col min="15873" max="15874" width="8.88671875" style="35" customWidth="1"/>
    <col min="15875" max="15875" width="12.6640625" style="35" bestFit="1" customWidth="1"/>
    <col min="15876" max="16128" width="8.88671875" style="35"/>
    <col min="16129" max="16130" width="8.88671875" style="35" customWidth="1"/>
    <col min="16131" max="16131" width="12.6640625" style="35" bestFit="1" customWidth="1"/>
    <col min="16132" max="16384" width="8.88671875" style="35"/>
  </cols>
  <sheetData>
    <row r="1" spans="1:15" x14ac:dyDescent="0.25">
      <c r="A1" s="34"/>
    </row>
    <row r="3" spans="1:15" x14ac:dyDescent="0.25">
      <c r="A3" s="34"/>
      <c r="B3" s="36"/>
    </row>
    <row r="5" spans="1:15" x14ac:dyDescent="0.25">
      <c r="N5" s="34" t="s">
        <v>492</v>
      </c>
      <c r="O5" s="34" t="s">
        <v>493</v>
      </c>
    </row>
    <row r="6" spans="1:15" x14ac:dyDescent="0.25">
      <c r="M6" s="37">
        <v>0</v>
      </c>
      <c r="N6" s="38">
        <f ca="1">_xll.RiskMin($C$28)</f>
        <v>61.652319646820743</v>
      </c>
      <c r="O6" s="39">
        <f>1-M6</f>
        <v>1</v>
      </c>
    </row>
    <row r="7" spans="1:15" x14ac:dyDescent="0.25">
      <c r="M7" s="37">
        <v>0.01</v>
      </c>
      <c r="N7" s="38">
        <f ca="1">_xll.RiskPercentile($C$28,M7)</f>
        <v>61.652319646820743</v>
      </c>
      <c r="O7" s="39">
        <f>1-M7</f>
        <v>0.99</v>
      </c>
    </row>
    <row r="8" spans="1:15" x14ac:dyDescent="0.25">
      <c r="M8" s="37">
        <v>0.02</v>
      </c>
      <c r="N8" s="38">
        <f ca="1">_xll.RiskPercentile($C$28,M8)</f>
        <v>61.652319646820743</v>
      </c>
      <c r="O8" s="39">
        <f t="shared" ref="O8:O42" si="0">1-M8</f>
        <v>0.98</v>
      </c>
    </row>
    <row r="9" spans="1:15" x14ac:dyDescent="0.25">
      <c r="M9" s="37">
        <v>0.03</v>
      </c>
      <c r="N9" s="38">
        <f ca="1">_xll.RiskPercentile($C$28,M9)</f>
        <v>61.652319646820743</v>
      </c>
      <c r="O9" s="39">
        <f t="shared" si="0"/>
        <v>0.97</v>
      </c>
    </row>
    <row r="10" spans="1:15" x14ac:dyDescent="0.25">
      <c r="M10" s="37">
        <v>0.04</v>
      </c>
      <c r="N10" s="38">
        <f ca="1">_xll.RiskPercentile($C$28,M10)</f>
        <v>61.652319646820743</v>
      </c>
      <c r="O10" s="39">
        <f t="shared" si="0"/>
        <v>0.96</v>
      </c>
    </row>
    <row r="11" spans="1:15" x14ac:dyDescent="0.25">
      <c r="M11" s="37">
        <v>0.05</v>
      </c>
      <c r="N11" s="38">
        <f ca="1">_xll.RiskPercentile($C$28,M11)</f>
        <v>61.652319646820743</v>
      </c>
      <c r="O11" s="39">
        <f t="shared" si="0"/>
        <v>0.95</v>
      </c>
    </row>
    <row r="12" spans="1:15" x14ac:dyDescent="0.25">
      <c r="M12" s="37">
        <v>0.06</v>
      </c>
      <c r="N12" s="38">
        <f ca="1">_xll.RiskPercentile($C$28,M12)</f>
        <v>61.652319646820743</v>
      </c>
      <c r="O12" s="39">
        <f t="shared" si="0"/>
        <v>0.94</v>
      </c>
    </row>
    <row r="13" spans="1:15" x14ac:dyDescent="0.25">
      <c r="B13" s="40"/>
      <c r="M13" s="37">
        <v>7.0000000000000007E-2</v>
      </c>
      <c r="N13" s="38">
        <f ca="1">_xll.RiskPercentile($C$28,M13)</f>
        <v>61.652319646820743</v>
      </c>
      <c r="O13" s="39">
        <f t="shared" si="0"/>
        <v>0.92999999999999994</v>
      </c>
    </row>
    <row r="14" spans="1:15" x14ac:dyDescent="0.25">
      <c r="M14" s="37">
        <v>0.08</v>
      </c>
      <c r="N14" s="38">
        <f ca="1">_xll.RiskPercentile($C$28,M14)</f>
        <v>61.652319646820743</v>
      </c>
      <c r="O14" s="39">
        <f t="shared" si="0"/>
        <v>0.92</v>
      </c>
    </row>
    <row r="15" spans="1:15" x14ac:dyDescent="0.25">
      <c r="M15" s="37">
        <v>0.09</v>
      </c>
      <c r="N15" s="38">
        <f ca="1">_xll.RiskPercentile($C$28,M15)</f>
        <v>61.652319646820743</v>
      </c>
      <c r="O15" s="39">
        <f t="shared" si="0"/>
        <v>0.91</v>
      </c>
    </row>
    <row r="16" spans="1:15" x14ac:dyDescent="0.25">
      <c r="M16" s="37">
        <v>0.1</v>
      </c>
      <c r="N16" s="38">
        <f ca="1">_xll.RiskPercentile($C$28,M16)</f>
        <v>61.652319646820743</v>
      </c>
      <c r="O16" s="39">
        <f t="shared" si="0"/>
        <v>0.9</v>
      </c>
    </row>
    <row r="17" spans="2:15" x14ac:dyDescent="0.25">
      <c r="M17" s="37">
        <v>0.15</v>
      </c>
      <c r="N17" s="38">
        <f ca="1">_xll.RiskPercentile($C$28,M17)</f>
        <v>61.652319646820743</v>
      </c>
      <c r="O17" s="39">
        <f t="shared" si="0"/>
        <v>0.85</v>
      </c>
    </row>
    <row r="18" spans="2:15" x14ac:dyDescent="0.25">
      <c r="M18" s="37">
        <v>0.2</v>
      </c>
      <c r="N18" s="38">
        <f ca="1">_xll.RiskPercentile($C$28,M18)</f>
        <v>61.652319646820743</v>
      </c>
      <c r="O18" s="39">
        <f t="shared" si="0"/>
        <v>0.8</v>
      </c>
    </row>
    <row r="19" spans="2:15" x14ac:dyDescent="0.25">
      <c r="M19" s="37">
        <v>0.25</v>
      </c>
      <c r="N19" s="38">
        <f ca="1">_xll.RiskPercentile($C$28,M19)</f>
        <v>61.652319646820743</v>
      </c>
      <c r="O19" s="39">
        <f t="shared" si="0"/>
        <v>0.75</v>
      </c>
    </row>
    <row r="20" spans="2:15" x14ac:dyDescent="0.25">
      <c r="M20" s="37">
        <v>0.3</v>
      </c>
      <c r="N20" s="38">
        <f ca="1">_xll.RiskPercentile($C$28,M20)</f>
        <v>61.652319646820743</v>
      </c>
      <c r="O20" s="39">
        <f t="shared" si="0"/>
        <v>0.7</v>
      </c>
    </row>
    <row r="21" spans="2:15" x14ac:dyDescent="0.25">
      <c r="M21" s="37">
        <v>0.35</v>
      </c>
      <c r="N21" s="38">
        <f ca="1">_xll.RiskPercentile($C$28,M21)</f>
        <v>61.652319646820743</v>
      </c>
      <c r="O21" s="39">
        <f t="shared" si="0"/>
        <v>0.65</v>
      </c>
    </row>
    <row r="22" spans="2:15" x14ac:dyDescent="0.25">
      <c r="M22" s="37">
        <v>0.4</v>
      </c>
      <c r="N22" s="38">
        <f ca="1">_xll.RiskPercentile($C$28,M22)</f>
        <v>61.652319646820743</v>
      </c>
      <c r="O22" s="39">
        <f t="shared" si="0"/>
        <v>0.6</v>
      </c>
    </row>
    <row r="23" spans="2:15" x14ac:dyDescent="0.25">
      <c r="M23" s="37">
        <v>0.45</v>
      </c>
      <c r="N23" s="38">
        <f ca="1">_xll.RiskPercentile($C$28,M23)</f>
        <v>61.652319646820743</v>
      </c>
      <c r="O23" s="39">
        <f t="shared" si="0"/>
        <v>0.55000000000000004</v>
      </c>
    </row>
    <row r="24" spans="2:15" x14ac:dyDescent="0.25">
      <c r="M24" s="37">
        <v>0.5</v>
      </c>
      <c r="N24" s="38">
        <f ca="1">_xll.RiskPercentile($C$28,M24)</f>
        <v>61.652319646820743</v>
      </c>
      <c r="O24" s="39">
        <f t="shared" si="0"/>
        <v>0.5</v>
      </c>
    </row>
    <row r="25" spans="2:15" x14ac:dyDescent="0.25">
      <c r="M25" s="37">
        <v>0.55000000000000004</v>
      </c>
      <c r="N25" s="38">
        <f ca="1">_xll.RiskPercentile($C$28,M25)</f>
        <v>61.652319646820743</v>
      </c>
      <c r="O25" s="39">
        <f t="shared" si="0"/>
        <v>0.44999999999999996</v>
      </c>
    </row>
    <row r="26" spans="2:15" x14ac:dyDescent="0.25">
      <c r="M26" s="37">
        <v>0.6</v>
      </c>
      <c r="N26" s="38">
        <f ca="1">_xll.RiskPercentile($C$28,M26)</f>
        <v>61.652319646820743</v>
      </c>
      <c r="O26" s="39">
        <f t="shared" si="0"/>
        <v>0.4</v>
      </c>
    </row>
    <row r="27" spans="2:15" x14ac:dyDescent="0.25">
      <c r="M27" s="37">
        <v>0.65</v>
      </c>
      <c r="N27" s="38">
        <f ca="1">_xll.RiskPercentile($C$28,M27)</f>
        <v>61.652319646820743</v>
      </c>
      <c r="O27" s="39">
        <f t="shared" si="0"/>
        <v>0.35</v>
      </c>
    </row>
    <row r="28" spans="2:15" ht="13.8" thickBot="1" x14ac:dyDescent="0.3">
      <c r="B28" s="41" t="s">
        <v>456</v>
      </c>
      <c r="C28" s="42">
        <f ca="1">Model!K62/1000000</f>
        <v>61.652319646820743</v>
      </c>
      <c r="D28" s="43" t="s">
        <v>494</v>
      </c>
      <c r="M28" s="37">
        <v>0.7</v>
      </c>
      <c r="N28" s="38">
        <f ca="1">_xll.RiskPercentile($C$28,M28)</f>
        <v>61.652319646820743</v>
      </c>
      <c r="O28" s="39">
        <f t="shared" si="0"/>
        <v>0.30000000000000004</v>
      </c>
    </row>
    <row r="29" spans="2:15" ht="13.8" thickTop="1" x14ac:dyDescent="0.25">
      <c r="M29" s="37">
        <v>0.75</v>
      </c>
      <c r="N29" s="38">
        <f ca="1">_xll.RiskPercentile($C$28,M29)</f>
        <v>61.652319646820743</v>
      </c>
      <c r="O29" s="39">
        <f t="shared" si="0"/>
        <v>0.25</v>
      </c>
    </row>
    <row r="30" spans="2:15" x14ac:dyDescent="0.25">
      <c r="B30" s="80" t="s">
        <v>495</v>
      </c>
      <c r="C30" s="80"/>
      <c r="D30" s="81" t="s">
        <v>459</v>
      </c>
      <c r="E30" s="82"/>
      <c r="M30" s="37">
        <v>0.8</v>
      </c>
      <c r="N30" s="38">
        <f ca="1">_xll.RiskPercentile($C$28,M30)</f>
        <v>61.652319646820743</v>
      </c>
      <c r="O30" s="39">
        <f t="shared" si="0"/>
        <v>0.19999999999999996</v>
      </c>
    </row>
    <row r="31" spans="2:15" ht="15.6" x14ac:dyDescent="0.35">
      <c r="B31" s="44" t="s">
        <v>496</v>
      </c>
      <c r="C31" s="45">
        <f ca="1">_xll.RiskPercentile(C28,0.1)</f>
        <v>61.652319646820743</v>
      </c>
      <c r="D31" s="46">
        <f ca="1">(C31-$C$34)/$C$34</f>
        <v>9.2667546985431129E-2</v>
      </c>
      <c r="E31" s="47">
        <f ca="1">C31-$C$34</f>
        <v>5.2286436468207427</v>
      </c>
      <c r="M31" s="37">
        <v>0.85</v>
      </c>
      <c r="N31" s="38">
        <f ca="1">_xll.RiskPercentile($C$28,M31)</f>
        <v>61.652319646820743</v>
      </c>
      <c r="O31" s="39">
        <f t="shared" si="0"/>
        <v>0.15000000000000002</v>
      </c>
    </row>
    <row r="32" spans="2:15" ht="15.6" x14ac:dyDescent="0.35">
      <c r="B32" s="77" t="s">
        <v>538</v>
      </c>
      <c r="C32" s="45">
        <f ca="1">_xll.RiskPercentile(C28,0.5)</f>
        <v>61.652319646820743</v>
      </c>
      <c r="D32" s="46">
        <f ca="1">(C32-$C$34)/$C$34</f>
        <v>9.2667546985431129E-2</v>
      </c>
      <c r="E32" s="47">
        <f ca="1">C32-$C$34</f>
        <v>5.2286436468207427</v>
      </c>
      <c r="M32" s="37">
        <v>0.9</v>
      </c>
      <c r="N32" s="38">
        <f ca="1">_xll.RiskPercentile($C$28,M32)</f>
        <v>61.652319646820743</v>
      </c>
      <c r="O32" s="39">
        <f t="shared" si="0"/>
        <v>9.9999999999999978E-2</v>
      </c>
    </row>
    <row r="33" spans="2:15" ht="15.6" x14ac:dyDescent="0.35">
      <c r="B33" s="44" t="s">
        <v>498</v>
      </c>
      <c r="C33" s="45">
        <f ca="1">_xll.RiskPercentile(C28,0.9)</f>
        <v>61.652319646820743</v>
      </c>
      <c r="D33" s="46">
        <f ca="1">(C33-$C$34)/$C$34</f>
        <v>9.2667546985431129E-2</v>
      </c>
      <c r="E33" s="47">
        <f ca="1">C33-$C$34</f>
        <v>5.2286436468207427</v>
      </c>
      <c r="M33" s="37">
        <v>0.91</v>
      </c>
      <c r="N33" s="38">
        <f ca="1">_xll.RiskPercentile($C$28,M33)</f>
        <v>61.652319646820743</v>
      </c>
      <c r="O33" s="39">
        <f t="shared" si="0"/>
        <v>8.9999999999999969E-2</v>
      </c>
    </row>
    <row r="34" spans="2:15" x14ac:dyDescent="0.25">
      <c r="B34" s="48" t="s">
        <v>499</v>
      </c>
      <c r="C34" s="47">
        <f>'Estimate summary'!K62/1000000</f>
        <v>56.423676</v>
      </c>
      <c r="D34" s="43" t="s">
        <v>500</v>
      </c>
      <c r="E34" s="49"/>
      <c r="M34" s="37">
        <v>0.92</v>
      </c>
      <c r="N34" s="38">
        <f ca="1">_xll.RiskPercentile($C$28,M34)</f>
        <v>61.652319646820743</v>
      </c>
      <c r="O34" s="39">
        <f t="shared" si="0"/>
        <v>7.999999999999996E-2</v>
      </c>
    </row>
    <row r="35" spans="2:15" x14ac:dyDescent="0.25">
      <c r="C35" s="49"/>
      <c r="D35" s="49"/>
      <c r="E35" s="49"/>
      <c r="M35" s="37">
        <v>0.93</v>
      </c>
      <c r="N35" s="38">
        <f ca="1">_xll.RiskPercentile($C$28,M35)</f>
        <v>61.652319646820743</v>
      </c>
      <c r="O35" s="39">
        <f t="shared" si="0"/>
        <v>6.9999999999999951E-2</v>
      </c>
    </row>
    <row r="36" spans="2:15" x14ac:dyDescent="0.25">
      <c r="M36" s="37">
        <v>0.94</v>
      </c>
      <c r="N36" s="38">
        <f ca="1">_xll.RiskPercentile($C$28,M36)</f>
        <v>61.652319646820743</v>
      </c>
      <c r="O36" s="39">
        <f t="shared" si="0"/>
        <v>6.0000000000000053E-2</v>
      </c>
    </row>
    <row r="37" spans="2:15" x14ac:dyDescent="0.25">
      <c r="M37" s="37">
        <v>0.95</v>
      </c>
      <c r="N37" s="38">
        <f ca="1">_xll.RiskPercentile($C$28,M37)</f>
        <v>61.652319646820743</v>
      </c>
      <c r="O37" s="39">
        <f t="shared" si="0"/>
        <v>5.0000000000000044E-2</v>
      </c>
    </row>
    <row r="38" spans="2:15" x14ac:dyDescent="0.25">
      <c r="M38" s="37">
        <v>0.96</v>
      </c>
      <c r="N38" s="38">
        <f ca="1">_xll.RiskPercentile($C$28,M38)</f>
        <v>61.652319646820743</v>
      </c>
      <c r="O38" s="39">
        <f t="shared" si="0"/>
        <v>4.0000000000000036E-2</v>
      </c>
    </row>
    <row r="39" spans="2:15" x14ac:dyDescent="0.25">
      <c r="M39" s="37">
        <v>0.97</v>
      </c>
      <c r="N39" s="38">
        <f ca="1">_xll.RiskPercentile($C$28,M39)</f>
        <v>61.652319646820743</v>
      </c>
      <c r="O39" s="39">
        <f t="shared" si="0"/>
        <v>3.0000000000000027E-2</v>
      </c>
    </row>
    <row r="40" spans="2:15" x14ac:dyDescent="0.25">
      <c r="M40" s="37">
        <v>0.98</v>
      </c>
      <c r="N40" s="38">
        <f ca="1">_xll.RiskPercentile($C$28,M40)</f>
        <v>61.652319646820743</v>
      </c>
      <c r="O40" s="39">
        <f t="shared" si="0"/>
        <v>2.0000000000000018E-2</v>
      </c>
    </row>
    <row r="41" spans="2:15" x14ac:dyDescent="0.25">
      <c r="M41" s="37">
        <v>0.99</v>
      </c>
      <c r="N41" s="38">
        <f ca="1">_xll.RiskPercentile($C$28,M41)</f>
        <v>61.652319646820743</v>
      </c>
      <c r="O41" s="39">
        <f t="shared" si="0"/>
        <v>1.0000000000000009E-2</v>
      </c>
    </row>
    <row r="42" spans="2:15" x14ac:dyDescent="0.25">
      <c r="M42" s="37">
        <v>1</v>
      </c>
      <c r="N42" s="38">
        <f ca="1">_xll.RiskMax($C$28)</f>
        <v>61.652319646820743</v>
      </c>
      <c r="O42" s="39">
        <f t="shared" si="0"/>
        <v>0</v>
      </c>
    </row>
    <row r="45" spans="2:15" x14ac:dyDescent="0.25">
      <c r="N45" s="34" t="s">
        <v>501</v>
      </c>
    </row>
    <row r="46" spans="2:15" x14ac:dyDescent="0.25">
      <c r="N46" s="35" t="s">
        <v>502</v>
      </c>
    </row>
    <row r="47" spans="2:15" x14ac:dyDescent="0.25">
      <c r="N47" s="38">
        <f ca="1">N16</f>
        <v>61.652319646820743</v>
      </c>
      <c r="O47" s="38">
        <v>1</v>
      </c>
    </row>
    <row r="48" spans="2:15" x14ac:dyDescent="0.25">
      <c r="N48" s="38">
        <f ca="1">N47</f>
        <v>61.652319646820743</v>
      </c>
      <c r="O48" s="35">
        <v>0</v>
      </c>
    </row>
    <row r="49" spans="14:15" x14ac:dyDescent="0.25">
      <c r="N49" s="78" t="s">
        <v>539</v>
      </c>
    </row>
    <row r="50" spans="14:15" x14ac:dyDescent="0.25">
      <c r="N50" s="38">
        <f ca="1">C32</f>
        <v>61.652319646820743</v>
      </c>
      <c r="O50" s="38">
        <v>1</v>
      </c>
    </row>
    <row r="51" spans="14:15" x14ac:dyDescent="0.25">
      <c r="N51" s="38">
        <f ca="1">N50</f>
        <v>61.652319646820743</v>
      </c>
      <c r="O51" s="35">
        <v>0</v>
      </c>
    </row>
    <row r="52" spans="14:15" x14ac:dyDescent="0.25">
      <c r="N52" s="35" t="s">
        <v>503</v>
      </c>
    </row>
    <row r="53" spans="14:15" x14ac:dyDescent="0.25">
      <c r="N53" s="38">
        <f ca="1">N32</f>
        <v>61.652319646820743</v>
      </c>
      <c r="O53" s="38">
        <v>1</v>
      </c>
    </row>
    <row r="54" spans="14:15" x14ac:dyDescent="0.25">
      <c r="N54" s="38">
        <f ca="1">N53</f>
        <v>61.652319646820743</v>
      </c>
      <c r="O54" s="35">
        <v>0</v>
      </c>
    </row>
    <row r="56" spans="14:15" x14ac:dyDescent="0.25">
      <c r="N56" s="35" t="s">
        <v>499</v>
      </c>
    </row>
    <row r="57" spans="14:15" x14ac:dyDescent="0.25">
      <c r="N57" s="40">
        <f>C34</f>
        <v>56.423676</v>
      </c>
      <c r="O57" s="35">
        <v>1</v>
      </c>
    </row>
    <row r="58" spans="14:15" x14ac:dyDescent="0.25">
      <c r="N58" s="40">
        <f>N57</f>
        <v>56.423676</v>
      </c>
      <c r="O58" s="35">
        <v>0</v>
      </c>
    </row>
  </sheetData>
  <mergeCells count="2">
    <mergeCell ref="B30:C30"/>
    <mergeCell ref="D30:E30"/>
  </mergeCells>
  <conditionalFormatting sqref="N6:N42">
    <cfRule type="expression" dxfId="10" priority="2" stopIfTrue="1">
      <formula>RiskIsStatistics</formula>
    </cfRule>
  </conditionalFormatting>
  <conditionalFormatting sqref="C28">
    <cfRule type="expression" dxfId="9" priority="3" stopIfTrue="1">
      <formula>RiskIsInput</formula>
    </cfRule>
  </conditionalFormatting>
  <conditionalFormatting sqref="C31:C33">
    <cfRule type="expression" dxfId="8" priority="1" stopIfTrue="1">
      <formula>RiskIsStatistics</formula>
    </cfRule>
  </conditionalFormatting>
  <pageMargins left="0.75" right="0.75" top="1" bottom="1" header="0.5" footer="0.5"/>
  <pageSetup paperSize="9" scale="62" orientation="landscape" r:id="rId1"/>
  <headerFooter>
    <oddFooter>&amp;LBroadleaf Capital International Pty Ltd 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22</vt:i4>
      </vt:variant>
    </vt:vector>
  </HeadingPairs>
  <TitlesOfParts>
    <vt:vector size="30" baseType="lpstr">
      <vt:lpstr>Estimate</vt:lpstr>
      <vt:lpstr>Estimate summary</vt:lpstr>
      <vt:lpstr>Risk factor allocation</vt:lpstr>
      <vt:lpstr>Schedule model</vt:lpstr>
      <vt:lpstr>Model</vt:lpstr>
      <vt:lpstr>Risk factors</vt:lpstr>
      <vt:lpstr>RiskSerializationData</vt:lpstr>
      <vt:lpstr>Summary output</vt:lpstr>
      <vt:lpstr>Duration</vt:lpstr>
      <vt:lpstr>Market_rates</vt:lpstr>
      <vt:lpstr>Prelim_running</vt:lpstr>
      <vt:lpstr>Productivity</vt:lpstr>
      <vt:lpstr>Provisions</vt:lpstr>
      <vt:lpstr>Q_Barrier</vt:lpstr>
      <vt:lpstr>Q_Conc</vt:lpstr>
      <vt:lpstr>Q_Earth</vt:lpstr>
      <vt:lpstr>Q_Eng</vt:lpstr>
      <vt:lpstr>Q_Pave</vt:lpstr>
      <vt:lpstr>Q_Pile</vt:lpstr>
      <vt:lpstr>Q_Plant</vt:lpstr>
      <vt:lpstr>Q_Steel</vt:lpstr>
      <vt:lpstr>Q_Walls</vt:lpstr>
      <vt:lpstr>R_Conc</vt:lpstr>
      <vt:lpstr>R_General</vt:lpstr>
      <vt:lpstr>R_Labour</vt:lpstr>
      <vt:lpstr>R_Plant</vt:lpstr>
      <vt:lpstr>R_Staff</vt:lpstr>
      <vt:lpstr>R_Steel</vt:lpstr>
      <vt:lpstr>R_Subcon</vt:lpstr>
      <vt:lpstr>Schedule_Entire_Plan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Stephen Grey</dc:creator>
  <cp:lastModifiedBy>Dr Stephen Grey</cp:lastModifiedBy>
  <dcterms:created xsi:type="dcterms:W3CDTF">2016-06-08T06:19:17Z</dcterms:created>
  <dcterms:modified xsi:type="dcterms:W3CDTF">2016-06-27T07:53:28Z</dcterms:modified>
</cp:coreProperties>
</file>